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50" activeTab="0"/>
  </bookViews>
  <sheets>
    <sheet name="Балансово-расчетный метод" sheetId="1" r:id="rId1"/>
    <sheet name="Метод прибавки урожая" sheetId="2" r:id="rId2"/>
    <sheet name="Справочник" sheetId="3" r:id="rId3"/>
    <sheet name="Резюме" sheetId="4" state="hidden" r:id="rId4"/>
    <sheet name="Резюме (2)" sheetId="5" state="hidden" r:id="rId5"/>
    <sheet name="Резюме (3)" sheetId="6" r:id="rId6"/>
  </sheets>
  <definedNames/>
  <calcPr fullCalcOnLoad="1"/>
</workbook>
</file>

<file path=xl/sharedStrings.xml><?xml version="1.0" encoding="utf-8"?>
<sst xmlns="http://schemas.openxmlformats.org/spreadsheetml/2006/main" count="256" uniqueCount="121">
  <si>
    <t>№</t>
  </si>
  <si>
    <t>Показатель</t>
  </si>
  <si>
    <t>Единица измерения</t>
  </si>
  <si>
    <t>Культура</t>
  </si>
  <si>
    <t>Поле №</t>
  </si>
  <si>
    <t>Запланированная урожайность, ц/га</t>
  </si>
  <si>
    <t>N</t>
  </si>
  <si>
    <r>
      <t>P</t>
    </r>
    <r>
      <rPr>
        <b/>
        <i/>
        <vertAlign val="subscript"/>
        <sz val="10"/>
        <rFont val="Arial Cyr"/>
        <family val="0"/>
      </rPr>
      <t>2</t>
    </r>
    <r>
      <rPr>
        <b/>
        <i/>
        <sz val="10"/>
        <rFont val="Arial Cyr"/>
        <family val="0"/>
      </rPr>
      <t>O</t>
    </r>
    <r>
      <rPr>
        <b/>
        <i/>
        <vertAlign val="subscript"/>
        <sz val="10"/>
        <rFont val="Arial Cyr"/>
        <family val="0"/>
      </rPr>
      <t>5</t>
    </r>
  </si>
  <si>
    <r>
      <t>K</t>
    </r>
    <r>
      <rPr>
        <b/>
        <i/>
        <vertAlign val="subscript"/>
        <sz val="10"/>
        <rFont val="Arial Cyr"/>
        <family val="0"/>
      </rPr>
      <t>2</t>
    </r>
    <r>
      <rPr>
        <b/>
        <i/>
        <sz val="10"/>
        <rFont val="Arial Cyr"/>
        <family val="0"/>
      </rPr>
      <t>O</t>
    </r>
  </si>
  <si>
    <t>Вынос питательных веществ 1 т основной и соответственным количеством побочной продукции</t>
  </si>
  <si>
    <t>кг</t>
  </si>
  <si>
    <t>Вынос питательных веществ запланированным урожаем</t>
  </si>
  <si>
    <t>кг/га</t>
  </si>
  <si>
    <t>Содержание подвижных питательных веществ в грунте</t>
  </si>
  <si>
    <t>мг/кг</t>
  </si>
  <si>
    <t>Коефициенты использования растениями питательных веществ из грунта</t>
  </si>
  <si>
    <t>Количество питательных веществ, что используются растениями из грунта</t>
  </si>
  <si>
    <t>Недостаток питательных веществ для получения запланированного урожая</t>
  </si>
  <si>
    <t>Коефициенты использования питательных веществ из минеральных удобрений</t>
  </si>
  <si>
    <t>Норма внесения питательных веществ с минеральными удобрениями</t>
  </si>
  <si>
    <t>Исходные данные для расчета норм внесения минеральных удобрений</t>
  </si>
  <si>
    <t>Ориентировочный средний вынос питательных веществ из грунта с-х культурами 1 тоной основной и соответствующим количеством побочной продукции, кг</t>
  </si>
  <si>
    <t>Свекла кормовая</t>
  </si>
  <si>
    <t>Свекла сахарная</t>
  </si>
  <si>
    <t>Вика</t>
  </si>
  <si>
    <t>Вико-овес</t>
  </si>
  <si>
    <t>Гречиха</t>
  </si>
  <si>
    <t>Горох</t>
  </si>
  <si>
    <t>Горох (зел.маса)</t>
  </si>
  <si>
    <t>Рожь</t>
  </si>
  <si>
    <t>Рожь (зел.маса)</t>
  </si>
  <si>
    <t>Картофель</t>
  </si>
  <si>
    <t>Кукурудза</t>
  </si>
  <si>
    <t>Кукурудза (зел.маса)</t>
  </si>
  <si>
    <t>Люцерна (сено)</t>
  </si>
  <si>
    <t>Овес</t>
  </si>
  <si>
    <t>Просо</t>
  </si>
  <si>
    <t>Пшеница озимая</t>
  </si>
  <si>
    <t>Пшеница яровая</t>
  </si>
  <si>
    <t>Рис</t>
  </si>
  <si>
    <t>Подсолнух</t>
  </si>
  <si>
    <t>Соя</t>
  </si>
  <si>
    <t>Сенокосы природные</t>
  </si>
  <si>
    <t>Травы многолетние</t>
  </si>
  <si>
    <t>Ячмень яровой</t>
  </si>
  <si>
    <t>P</t>
  </si>
  <si>
    <t>K</t>
  </si>
  <si>
    <t>Рапс озимый</t>
  </si>
  <si>
    <t>Запасы подвижных веществ в пахотном слое грунта</t>
  </si>
  <si>
    <t>S</t>
  </si>
  <si>
    <t>Ca</t>
  </si>
  <si>
    <t>Mg</t>
  </si>
  <si>
    <t>Zn</t>
  </si>
  <si>
    <t>Cu</t>
  </si>
  <si>
    <t>Fe</t>
  </si>
  <si>
    <t>B</t>
  </si>
  <si>
    <t>Mo</t>
  </si>
  <si>
    <t>Mn</t>
  </si>
  <si>
    <t xml:space="preserve"> мг/кг грунта</t>
  </si>
  <si>
    <t>КОЕфИЦИЕНТ ИСПОЛЬЗОВАНИЯ С УДОБРЕНИЙ</t>
  </si>
  <si>
    <t>Коеф. Использования с почвы</t>
  </si>
  <si>
    <t>Содержание в пахотном слое,  мг/кг грунта</t>
  </si>
  <si>
    <t>Примечания:</t>
  </si>
  <si>
    <t>Возможный урожай без внесения удобрений</t>
  </si>
  <si>
    <t>Глубина пахотного слоя с оптимальной плотностью (Твердость 0-7см &lt;1,3кг/см2;Твердость глубже 7см&lt;7,3кг/см2 для техн.; &lt;9,2 для зерновых),  см</t>
  </si>
  <si>
    <t>Ph водный</t>
  </si>
  <si>
    <t>Оптимальные параметры минимальние</t>
  </si>
  <si>
    <t>Оптимальные параметры максимальные</t>
  </si>
  <si>
    <t>не оптимально&gt;&gt;&gt;</t>
  </si>
  <si>
    <t xml:space="preserve">Определение норм внесения удобрений на запланированную урожайность балансово-расчетным методом, </t>
  </si>
  <si>
    <t>версия 1.1</t>
  </si>
  <si>
    <t>версия 1.2</t>
  </si>
  <si>
    <t>Количество удобрений которое вносилось для получения среднего или последнего урожая, действующее вещество кг/га</t>
  </si>
  <si>
    <t>Внесено на 1 га под последний урожай даной культури на даном поле</t>
  </si>
  <si>
    <t xml:space="preserve">Определение норм внесения удобрений на запланированную урожайность </t>
  </si>
  <si>
    <t>ц/га</t>
  </si>
  <si>
    <t>Прибавка посленего урожая за счет внесенных удобрений</t>
  </si>
  <si>
    <t>Возможный урожай без внесения удобрений если даный елемент лимитирующий</t>
  </si>
  <si>
    <t>Средняя или последняя урожайность даной культури на даном поле (лучше без удобрений), ц/га:</t>
  </si>
  <si>
    <t>Для получения планированого урожая с учотом максимально лимитирующего фактора нужно внести</t>
  </si>
  <si>
    <t>Наиболие лимитирующий фактор и урожайность</t>
  </si>
  <si>
    <t>Норма внесения питательных веществ с минеральными удобрениями с учетом  коефициента использования</t>
  </si>
  <si>
    <t>по Д. Шпаар</t>
  </si>
  <si>
    <t>КОРЕКЦИЯ</t>
  </si>
  <si>
    <t>Посеяна бобовая культура</t>
  </si>
  <si>
    <t>ПОСТАВТЕ МЕТКУ "х"</t>
  </si>
  <si>
    <t>х</t>
  </si>
  <si>
    <t>Глиняні грунти</t>
  </si>
  <si>
    <t>Мало органіки, Гумус &lt;1%</t>
  </si>
  <si>
    <t>Влияние Ph на усвоение, нужна подкормка</t>
  </si>
  <si>
    <t>Итого</t>
  </si>
  <si>
    <t>Хороший предшественник</t>
  </si>
  <si>
    <t>-</t>
  </si>
  <si>
    <t>Корекция по содержанию в почве</t>
  </si>
  <si>
    <t xml:space="preserve">Культура </t>
  </si>
  <si>
    <t>Возможна урожайность без внесения</t>
  </si>
  <si>
    <t>ц</t>
  </si>
  <si>
    <t>Економ  вариант</t>
  </si>
  <si>
    <t xml:space="preserve">Участок </t>
  </si>
  <si>
    <t>Поле № 2</t>
  </si>
  <si>
    <t>Анализ</t>
  </si>
  <si>
    <t>1628/2 от 28/12/17</t>
  </si>
  <si>
    <t>Урожайность:</t>
  </si>
  <si>
    <t xml:space="preserve">Нужно внести </t>
  </si>
  <si>
    <t>Сульфат амония</t>
  </si>
  <si>
    <t>КГ/га</t>
  </si>
  <si>
    <t>Нитроамофоска</t>
  </si>
  <si>
    <t>Гипс</t>
  </si>
  <si>
    <t>Для улучшения почвы нужно произвести  гипсоваие - внесения гипса минимум 2 тони на 1 га</t>
  </si>
  <si>
    <t>Из-за недостатка кальция возможна болезнь картофеля, почернение листьев и клубней</t>
  </si>
  <si>
    <t xml:space="preserve">Максимальная урожайность по влаге </t>
  </si>
  <si>
    <t>из-за КИСЛОТНОСТИ нужно внесение микроэлементов в почву или по листу, кг</t>
  </si>
  <si>
    <t>Екоплант</t>
  </si>
  <si>
    <t>Карбамид</t>
  </si>
  <si>
    <t>Поле № 1</t>
  </si>
  <si>
    <t>1047 от 30/01/18</t>
  </si>
  <si>
    <t>Оптимальный вариант</t>
  </si>
  <si>
    <t>по азоту 12ц;</t>
  </si>
  <si>
    <t>По калію 4ц;</t>
  </si>
  <si>
    <t>виноград</t>
  </si>
  <si>
    <t>Почва сильно лужная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</si>
</sst>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0.00000"/>
    <numFmt numFmtId="174" formatCode="0.0000"/>
    <numFmt numFmtId="175" formatCode="0.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vertAlign val="subscript"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vertAlign val="subscript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0"/>
      <color indexed="60"/>
      <name val="Arial Cyr"/>
      <family val="0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0"/>
      <color rgb="FFC00000"/>
      <name val="Arial Cyr"/>
      <family val="0"/>
    </font>
    <font>
      <b/>
      <sz val="8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0" xfId="0" applyNumberForma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left" vertical="center" wrapText="1"/>
      <protection hidden="1"/>
    </xf>
    <xf numFmtId="2" fontId="0" fillId="0" borderId="10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0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2" xfId="0" applyNumberFormat="1" applyBorder="1" applyAlignment="1">
      <alignment horizontal="center"/>
    </xf>
    <xf numFmtId="0" fontId="0" fillId="0" borderId="11" xfId="0" applyNumberFormat="1" applyFill="1" applyBorder="1" applyAlignment="1">
      <alignment/>
    </xf>
    <xf numFmtId="0" fontId="0" fillId="7" borderId="10" xfId="0" applyFill="1" applyBorder="1" applyAlignment="1" applyProtection="1">
      <alignment horizontal="left" vertical="center" wrapText="1"/>
      <protection hidden="1"/>
    </xf>
    <xf numFmtId="0" fontId="0" fillId="7" borderId="11" xfId="0" applyFill="1" applyBorder="1" applyAlignment="1" applyProtection="1">
      <alignment horizontal="center" vertical="center" wrapText="1"/>
      <protection hidden="1"/>
    </xf>
    <xf numFmtId="2" fontId="0" fillId="7" borderId="10" xfId="0" applyNumberFormat="1" applyFill="1" applyBorder="1" applyAlignment="1" applyProtection="1">
      <alignment horizontal="center" vertical="center"/>
      <protection hidden="1"/>
    </xf>
    <xf numFmtId="0" fontId="4" fillId="7" borderId="10" xfId="0" applyFont="1" applyFill="1" applyBorder="1" applyAlignment="1" applyProtection="1">
      <alignment horizontal="left" vertical="center" wrapText="1"/>
      <protection hidden="1"/>
    </xf>
    <xf numFmtId="0" fontId="4" fillId="7" borderId="11" xfId="0" applyFont="1" applyFill="1" applyBorder="1" applyAlignment="1" applyProtection="1">
      <alignment horizontal="center" vertical="center" wrapText="1"/>
      <protection hidden="1"/>
    </xf>
    <xf numFmtId="2" fontId="4" fillId="7" borderId="10" xfId="0" applyNumberFormat="1" applyFont="1" applyFill="1" applyBorder="1" applyAlignment="1" applyProtection="1">
      <alignment horizontal="center" vertical="center"/>
      <protection hidden="1"/>
    </xf>
    <xf numFmtId="0" fontId="4" fillId="33" borderId="11" xfId="0" applyFont="1" applyFill="1" applyBorder="1" applyAlignment="1" applyProtection="1">
      <alignment horizontal="center" vertical="center" wrapText="1"/>
      <protection hidden="1"/>
    </xf>
    <xf numFmtId="2" fontId="4" fillId="33" borderId="10" xfId="0" applyNumberFormat="1" applyFont="1" applyFill="1" applyBorder="1" applyAlignment="1" applyProtection="1">
      <alignment horizontal="center" vertical="center"/>
      <protection hidden="1"/>
    </xf>
    <xf numFmtId="0" fontId="4" fillId="33" borderId="10" xfId="0" applyNumberFormat="1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Alignment="1">
      <alignment horizontal="left" vertical="center" wrapText="1"/>
    </xf>
    <xf numFmtId="0" fontId="0" fillId="0" borderId="10" xfId="0" applyBorder="1" applyAlignment="1" applyProtection="1">
      <alignment/>
      <protection locked="0"/>
    </xf>
    <xf numFmtId="0" fontId="4" fillId="7" borderId="10" xfId="0" applyFont="1" applyFill="1" applyBorder="1" applyAlignment="1" applyProtection="1">
      <alignment/>
      <protection hidden="1"/>
    </xf>
    <xf numFmtId="0" fontId="4" fillId="7" borderId="10" xfId="0" applyFont="1" applyFill="1" applyBorder="1" applyAlignment="1">
      <alignment/>
    </xf>
    <xf numFmtId="0" fontId="43" fillId="7" borderId="10" xfId="0" applyFont="1" applyFill="1" applyBorder="1" applyAlignment="1" applyProtection="1">
      <alignment horizontal="center"/>
      <protection hidden="1"/>
    </xf>
    <xf numFmtId="0" fontId="43" fillId="7" borderId="10" xfId="0" applyFont="1" applyFill="1" applyBorder="1" applyAlignment="1" applyProtection="1">
      <alignment horizontal="right"/>
      <protection hidden="1"/>
    </xf>
    <xf numFmtId="0" fontId="5" fillId="33" borderId="11" xfId="0" applyFont="1" applyFill="1" applyBorder="1" applyAlignment="1" applyProtection="1">
      <alignment horizontal="center" vertical="center" wrapText="1"/>
      <protection hidden="1"/>
    </xf>
    <xf numFmtId="0" fontId="5" fillId="33" borderId="13" xfId="0" applyFont="1" applyFill="1" applyBorder="1" applyAlignment="1" applyProtection="1">
      <alignment/>
      <protection hidden="1"/>
    </xf>
    <xf numFmtId="0" fontId="0" fillId="0" borderId="14" xfId="0" applyBorder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 locked="0"/>
    </xf>
    <xf numFmtId="0" fontId="0" fillId="0" borderId="0" xfId="0" applyBorder="1" applyAlignment="1">
      <alignment/>
    </xf>
    <xf numFmtId="0" fontId="5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3" fillId="7" borderId="15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left" vertical="center"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4" fillId="0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0" fillId="34" borderId="10" xfId="0" applyFill="1" applyBorder="1" applyAlignment="1" applyProtection="1">
      <alignment horizontal="left" vertical="center" wrapText="1"/>
      <protection hidden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172" fontId="5" fillId="34" borderId="10" xfId="0" applyNumberFormat="1" applyFont="1" applyFill="1" applyBorder="1" applyAlignment="1" applyProtection="1">
      <alignment horizontal="center" vertical="center" wrapText="1"/>
      <protection hidden="1"/>
    </xf>
    <xf numFmtId="172" fontId="0" fillId="0" borderId="11" xfId="0" applyNumberFormat="1" applyBorder="1" applyAlignment="1" applyProtection="1">
      <alignment horizontal="center" vertical="center" wrapText="1"/>
      <protection hidden="1"/>
    </xf>
    <xf numFmtId="2" fontId="43" fillId="0" borderId="10" xfId="0" applyNumberFormat="1" applyFont="1" applyBorder="1" applyAlignment="1" applyProtection="1">
      <alignment horizontal="center" vertical="center"/>
      <protection hidden="1"/>
    </xf>
    <xf numFmtId="0" fontId="0" fillId="16" borderId="10" xfId="0" applyNumberFormat="1" applyFill="1" applyBorder="1" applyAlignment="1">
      <alignment/>
    </xf>
    <xf numFmtId="0" fontId="0" fillId="33" borderId="10" xfId="0" applyNumberForma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>
      <alignment horizontal="left" vertical="center" wrapText="1"/>
    </xf>
    <xf numFmtId="172" fontId="4" fillId="33" borderId="10" xfId="0" applyNumberFormat="1" applyFont="1" applyFill="1" applyBorder="1" applyAlignment="1">
      <alignment horizontal="center" vertical="center"/>
    </xf>
    <xf numFmtId="0" fontId="0" fillId="16" borderId="0" xfId="0" applyNumberFormat="1" applyFill="1" applyAlignment="1">
      <alignment/>
    </xf>
    <xf numFmtId="0" fontId="0" fillId="0" borderId="0" xfId="0" applyAlignment="1">
      <alignment horizontal="center"/>
    </xf>
    <xf numFmtId="0" fontId="4" fillId="10" borderId="10" xfId="0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horizontal="center" vertical="center" wrapText="1"/>
    </xf>
    <xf numFmtId="172" fontId="4" fillId="10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/>
      <protection hidden="1"/>
    </xf>
    <xf numFmtId="0" fontId="4" fillId="7" borderId="10" xfId="0" applyFont="1" applyFill="1" applyBorder="1" applyAlignment="1">
      <alignment horizontal="center"/>
    </xf>
    <xf numFmtId="0" fontId="4" fillId="7" borderId="10" xfId="0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 locked="0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/>
    </xf>
    <xf numFmtId="0" fontId="44" fillId="0" borderId="16" xfId="0" applyFont="1" applyBorder="1" applyAlignment="1">
      <alignment horizontal="center" vertical="center" wrapText="1"/>
    </xf>
    <xf numFmtId="0" fontId="43" fillId="7" borderId="0" xfId="0" applyFont="1" applyFill="1" applyBorder="1" applyAlignment="1" applyProtection="1">
      <alignment horizontal="center"/>
      <protection hidden="1"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/>
    </xf>
    <xf numFmtId="0" fontId="45" fillId="7" borderId="10" xfId="0" applyFont="1" applyFill="1" applyBorder="1" applyAlignment="1" applyProtection="1">
      <alignment horizontal="center"/>
      <protection hidden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33" borderId="13" xfId="0" applyFont="1" applyFill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"/>
      <protection hidden="1"/>
    </xf>
    <xf numFmtId="0" fontId="0" fillId="0" borderId="18" xfId="0" applyBorder="1" applyAlignment="1">
      <alignment horizontal="center"/>
    </xf>
    <xf numFmtId="0" fontId="4" fillId="0" borderId="0" xfId="0" applyFont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/>
      <protection hidden="1"/>
    </xf>
    <xf numFmtId="0" fontId="5" fillId="33" borderId="0" xfId="0" applyFont="1" applyFill="1" applyAlignment="1" applyProtection="1">
      <alignment horizontal="center" wrapText="1"/>
      <protection hidden="1"/>
    </xf>
    <xf numFmtId="0" fontId="5" fillId="35" borderId="0" xfId="0" applyFont="1" applyFill="1" applyAlignment="1" applyProtection="1">
      <alignment horizontal="center" wrapText="1"/>
      <protection hidden="1"/>
    </xf>
    <xf numFmtId="0" fontId="0" fillId="0" borderId="0" xfId="0" applyAlignment="1">
      <alignment horizontal="left" vertical="center" wrapText="1"/>
    </xf>
    <xf numFmtId="0" fontId="0" fillId="0" borderId="20" xfId="0" applyBorder="1" applyAlignment="1" applyProtection="1">
      <alignment horizontal="center"/>
      <protection hidden="1" locked="0"/>
    </xf>
    <xf numFmtId="0" fontId="0" fillId="0" borderId="14" xfId="0" applyBorder="1" applyAlignment="1" applyProtection="1">
      <alignment horizontal="center"/>
      <protection hidden="1"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33" borderId="24" xfId="0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wrapText="1"/>
    </xf>
    <xf numFmtId="0" fontId="4" fillId="33" borderId="27" xfId="0" applyFont="1" applyFill="1" applyBorder="1" applyAlignment="1">
      <alignment horizontal="center" wrapText="1"/>
    </xf>
    <xf numFmtId="0" fontId="4" fillId="33" borderId="28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5" fillId="33" borderId="30" xfId="0" applyFont="1" applyFill="1" applyBorder="1" applyAlignment="1" applyProtection="1">
      <alignment horizontal="center"/>
      <protection hidden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9"/>
  <sheetViews>
    <sheetView showGridLines="0" tabSelected="1" zoomScalePageLayoutView="0" workbookViewId="0" topLeftCell="A1">
      <selection activeCell="A5" sqref="A5:B6"/>
    </sheetView>
  </sheetViews>
  <sheetFormatPr defaultColWidth="9.125" defaultRowHeight="12.75" zeroHeight="1"/>
  <cols>
    <col min="1" max="1" width="6.125" style="0" customWidth="1"/>
    <col min="2" max="2" width="46.625" style="0" customWidth="1"/>
    <col min="3" max="3" width="11.25390625" style="71" customWidth="1"/>
    <col min="4" max="6" width="10.25390625" style="0" customWidth="1"/>
    <col min="8" max="10" width="10.25390625" style="0" bestFit="1" customWidth="1"/>
    <col min="16" max="18" width="0" style="0" hidden="1" customWidth="1"/>
  </cols>
  <sheetData>
    <row r="1" spans="2:15" ht="13.5" thickBot="1">
      <c r="B1" s="41" t="s">
        <v>70</v>
      </c>
      <c r="C1" s="101" t="s">
        <v>20</v>
      </c>
      <c r="D1" s="101"/>
      <c r="E1" s="101"/>
      <c r="F1" s="101"/>
      <c r="G1" s="101"/>
      <c r="H1" s="101"/>
      <c r="I1" s="101"/>
      <c r="J1" s="102"/>
      <c r="K1" s="98" t="s">
        <v>3</v>
      </c>
      <c r="L1" s="99"/>
      <c r="M1" s="106" t="s">
        <v>27</v>
      </c>
      <c r="N1" s="106"/>
      <c r="O1" s="107"/>
    </row>
    <row r="2" spans="1:19" ht="13.5" customHeight="1" thickBot="1">
      <c r="A2" s="104"/>
      <c r="B2" s="104"/>
      <c r="C2" s="41"/>
      <c r="D2" s="41"/>
      <c r="E2" s="41"/>
      <c r="F2" s="41"/>
      <c r="G2" s="41"/>
      <c r="H2" s="42"/>
      <c r="I2" s="42"/>
      <c r="J2" s="43"/>
      <c r="K2" s="46"/>
      <c r="L2" s="46"/>
      <c r="M2" s="44"/>
      <c r="N2" s="44"/>
      <c r="O2" s="44"/>
      <c r="P2" s="45"/>
      <c r="Q2" s="45"/>
      <c r="R2" s="45"/>
      <c r="S2" s="45"/>
    </row>
    <row r="3" spans="1:18" ht="12.75" customHeight="1" thickBot="1">
      <c r="A3" s="104"/>
      <c r="B3" s="104"/>
      <c r="G3" s="39" t="s">
        <v>4</v>
      </c>
      <c r="H3" s="40">
        <v>21</v>
      </c>
      <c r="I3" s="111" t="s">
        <v>64</v>
      </c>
      <c r="J3" s="112"/>
      <c r="K3" s="112"/>
      <c r="L3" s="112"/>
      <c r="M3" s="112"/>
      <c r="N3" s="113"/>
      <c r="O3" s="108">
        <v>35</v>
      </c>
      <c r="R3">
        <f>SUM(R4:R40)</f>
        <v>6</v>
      </c>
    </row>
    <row r="4" spans="1:18" ht="27" customHeight="1" thickBot="1">
      <c r="A4" s="104"/>
      <c r="B4" s="104"/>
      <c r="D4" s="98" t="s">
        <v>5</v>
      </c>
      <c r="E4" s="117"/>
      <c r="F4" s="117"/>
      <c r="G4" s="99"/>
      <c r="H4" s="40">
        <v>22</v>
      </c>
      <c r="I4" s="114"/>
      <c r="J4" s="115"/>
      <c r="K4" s="115"/>
      <c r="L4" s="115"/>
      <c r="M4" s="115"/>
      <c r="N4" s="116"/>
      <c r="O4" s="109"/>
      <c r="P4">
        <v>1</v>
      </c>
      <c r="Q4" t="str">
        <f>Справочник!B4</f>
        <v>Свекла кормовая</v>
      </c>
      <c r="R4">
        <f>IF(Q4=$M$1,P4,0)</f>
        <v>0</v>
      </c>
    </row>
    <row r="5" spans="1:18" ht="26.25" customHeight="1">
      <c r="A5" s="103"/>
      <c r="B5" s="103"/>
      <c r="D5" s="100" t="s">
        <v>58</v>
      </c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>
        <v>2</v>
      </c>
      <c r="Q5" t="str">
        <f>Справочник!B5</f>
        <v>Свекла сахарная</v>
      </c>
      <c r="R5">
        <f>IF(Q5=$M$1,P5,0)</f>
        <v>0</v>
      </c>
    </row>
    <row r="6" spans="1:18" ht="14.25">
      <c r="A6" s="103"/>
      <c r="B6" s="103"/>
      <c r="C6" s="75" t="s">
        <v>65</v>
      </c>
      <c r="D6" s="13" t="s">
        <v>6</v>
      </c>
      <c r="E6" s="13" t="s">
        <v>7</v>
      </c>
      <c r="F6" s="13" t="s">
        <v>8</v>
      </c>
      <c r="G6" s="14" t="s">
        <v>49</v>
      </c>
      <c r="H6" s="14" t="s">
        <v>50</v>
      </c>
      <c r="I6" s="14" t="s">
        <v>51</v>
      </c>
      <c r="J6" s="14" t="s">
        <v>52</v>
      </c>
      <c r="K6" s="14" t="s">
        <v>53</v>
      </c>
      <c r="L6" s="14" t="s">
        <v>54</v>
      </c>
      <c r="M6" s="15" t="s">
        <v>55</v>
      </c>
      <c r="N6" s="15" t="s">
        <v>56</v>
      </c>
      <c r="O6" s="15" t="s">
        <v>57</v>
      </c>
      <c r="P6">
        <v>3</v>
      </c>
      <c r="Q6" t="str">
        <f>Справочник!B6</f>
        <v>Вика</v>
      </c>
      <c r="R6">
        <f>IF(Q6=$M$1,P6,0)</f>
        <v>0</v>
      </c>
    </row>
    <row r="7" spans="1:18" ht="12.75">
      <c r="A7" s="7"/>
      <c r="B7" s="34" t="s">
        <v>67</v>
      </c>
      <c r="C7" s="76">
        <v>7.5</v>
      </c>
      <c r="D7" s="35">
        <v>150</v>
      </c>
      <c r="E7" s="35">
        <v>240</v>
      </c>
      <c r="F7" s="35">
        <v>200</v>
      </c>
      <c r="G7" s="35">
        <v>40</v>
      </c>
      <c r="H7" s="35">
        <v>3000</v>
      </c>
      <c r="I7" s="35">
        <v>350</v>
      </c>
      <c r="J7" s="35">
        <v>4</v>
      </c>
      <c r="K7" s="35">
        <v>2</v>
      </c>
      <c r="L7" s="35">
        <v>50</v>
      </c>
      <c r="M7" s="35">
        <v>2.5</v>
      </c>
      <c r="N7" s="35">
        <v>0.3</v>
      </c>
      <c r="O7" s="35">
        <v>5</v>
      </c>
      <c r="P7">
        <v>4</v>
      </c>
      <c r="Q7" t="str">
        <f>Справочник!B7</f>
        <v>Вико-овес</v>
      </c>
      <c r="R7">
        <f>IF(Q7=$M$1,P7,0)</f>
        <v>0</v>
      </c>
    </row>
    <row r="8" spans="1:18" ht="12.75">
      <c r="A8" s="9"/>
      <c r="B8" s="34" t="s">
        <v>66</v>
      </c>
      <c r="C8" s="77">
        <v>5.7</v>
      </c>
      <c r="D8" s="35">
        <v>50</v>
      </c>
      <c r="E8" s="35">
        <v>160</v>
      </c>
      <c r="F8" s="35">
        <v>130</v>
      </c>
      <c r="G8" s="35">
        <v>1</v>
      </c>
      <c r="H8" s="35">
        <v>800</v>
      </c>
      <c r="I8" s="35">
        <v>100</v>
      </c>
      <c r="J8" s="35">
        <v>0.5</v>
      </c>
      <c r="K8" s="35">
        <v>0.2</v>
      </c>
      <c r="L8" s="35">
        <v>4</v>
      </c>
      <c r="M8" s="35">
        <v>0.5</v>
      </c>
      <c r="N8" s="35">
        <v>0.1</v>
      </c>
      <c r="O8" s="35">
        <v>1.5</v>
      </c>
      <c r="P8">
        <v>5</v>
      </c>
      <c r="Q8" t="str">
        <f>Справочник!B8</f>
        <v>Гречиха</v>
      </c>
      <c r="R8">
        <f>IF(Q8=$M$1,P8,0)</f>
        <v>0</v>
      </c>
    </row>
    <row r="9" spans="1:18" ht="12.75">
      <c r="A9" s="9"/>
      <c r="B9" s="37" t="s">
        <v>68</v>
      </c>
      <c r="C9" s="36" t="str">
        <f>IF(OR(C11&lt;C8,C11&gt;C7),"!!!","")</f>
        <v>!!!</v>
      </c>
      <c r="D9" s="36" t="str">
        <f aca="true" t="shared" si="0" ref="D9:O9">IF(OR(D11&lt;D8,D11&gt;D7),"!!!","")</f>
        <v>!!!</v>
      </c>
      <c r="E9" s="36" t="str">
        <f t="shared" si="0"/>
        <v>!!!</v>
      </c>
      <c r="F9" s="36" t="str">
        <f t="shared" si="0"/>
        <v>!!!</v>
      </c>
      <c r="G9" s="36">
        <f t="shared" si="0"/>
      </c>
      <c r="H9" s="36" t="str">
        <f t="shared" si="0"/>
        <v>!!!</v>
      </c>
      <c r="I9" s="36" t="str">
        <f t="shared" si="0"/>
        <v>!!!</v>
      </c>
      <c r="J9" s="36" t="str">
        <f t="shared" si="0"/>
        <v>!!!</v>
      </c>
      <c r="K9" s="36" t="str">
        <f t="shared" si="0"/>
        <v>!!!</v>
      </c>
      <c r="L9" s="36" t="str">
        <f t="shared" si="0"/>
        <v>!!!</v>
      </c>
      <c r="M9" s="36" t="str">
        <f t="shared" si="0"/>
        <v>!!!</v>
      </c>
      <c r="N9" s="36" t="str">
        <f t="shared" si="0"/>
        <v>!!!</v>
      </c>
      <c r="O9" s="36" t="str">
        <f t="shared" si="0"/>
        <v>!!!</v>
      </c>
      <c r="P9" s="36">
        <f>IF(OR(P8&lt;P11,P11&lt;P7),"","!!!")</f>
      </c>
      <c r="Q9" s="36" t="str">
        <f>IF(OR(Q8&lt;Q11,Q11&lt;Q7),"","!!!")</f>
        <v>!!!</v>
      </c>
      <c r="R9" s="36">
        <f>IF(OR(R8&lt;R11,R11&lt;R7),"","!!!")</f>
      </c>
    </row>
    <row r="10" spans="1:18" ht="12.75">
      <c r="A10" s="9"/>
      <c r="B10" s="5" t="s">
        <v>89</v>
      </c>
      <c r="C10" s="36" t="s">
        <v>92</v>
      </c>
      <c r="D10" s="89">
        <f>IF(OR($C$11&gt;8.5,$C$11&lt;5),"недоступен","")</f>
      </c>
      <c r="E10" s="89" t="str">
        <f>IF(OR($C$11&gt;8,$C$11&lt;6.2),"недоступен","")</f>
        <v>недоступен</v>
      </c>
      <c r="F10" s="89">
        <f>IF($C$11&lt;5.5,"недоступен","")</f>
      </c>
      <c r="G10" s="89"/>
      <c r="H10" s="89">
        <f>IF($C$11&lt;5.5,"недоступен","")</f>
      </c>
      <c r="I10" s="89">
        <f>IF($C$11&lt;5.5,"недоступен","")</f>
      </c>
      <c r="J10" s="89" t="str">
        <f>IF($C$11&gt;7.5,"недоступен","")</f>
        <v>недоступен</v>
      </c>
      <c r="K10" s="89" t="str">
        <f>IF($C$11&gt;7.5,"недоступен","")</f>
        <v>недоступен</v>
      </c>
      <c r="L10" s="89" t="str">
        <f>IF($C$11&gt;7.5,"недоступен","")</f>
        <v>недоступен</v>
      </c>
      <c r="M10" s="89" t="str">
        <f>IF($C$11&gt;7.5,"недоступен","")</f>
        <v>недоступен</v>
      </c>
      <c r="N10" s="36"/>
      <c r="O10" s="89" t="str">
        <f>IF($C$11&gt;7.5,"недоступен","")</f>
        <v>недоступен</v>
      </c>
      <c r="P10" s="84"/>
      <c r="Q10" s="84"/>
      <c r="R10" s="84"/>
    </row>
    <row r="11" spans="1:18" ht="12.75">
      <c r="A11" s="9"/>
      <c r="B11" s="17" t="s">
        <v>61</v>
      </c>
      <c r="C11" s="78">
        <v>8.2</v>
      </c>
      <c r="D11" s="33">
        <v>27.2</v>
      </c>
      <c r="E11" s="33">
        <v>350</v>
      </c>
      <c r="F11" s="33">
        <v>23</v>
      </c>
      <c r="G11" s="33">
        <v>2.3</v>
      </c>
      <c r="H11" s="33"/>
      <c r="I11" s="33"/>
      <c r="J11" s="33"/>
      <c r="K11" s="33"/>
      <c r="L11" s="33"/>
      <c r="M11" s="33"/>
      <c r="N11" s="33"/>
      <c r="O11" s="33"/>
      <c r="P11">
        <v>6</v>
      </c>
      <c r="Q11" t="str">
        <f>Справочник!B9</f>
        <v>Горох</v>
      </c>
      <c r="R11">
        <f aca="true" t="shared" si="1" ref="R11:R40">IF(Q11=$M$1,P11,0)</f>
        <v>6</v>
      </c>
    </row>
    <row r="12" spans="1:18" ht="12.75" hidden="1">
      <c r="A12" s="9"/>
      <c r="B12" s="9"/>
      <c r="C12" s="79"/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  <c r="L12">
        <v>11</v>
      </c>
      <c r="M12">
        <v>12</v>
      </c>
      <c r="N12">
        <v>13</v>
      </c>
      <c r="O12">
        <v>14</v>
      </c>
      <c r="P12">
        <v>7</v>
      </c>
      <c r="Q12" t="str">
        <f>Справочник!B10</f>
        <v>Горох (зел.маса)</v>
      </c>
      <c r="R12">
        <f t="shared" si="1"/>
        <v>0</v>
      </c>
    </row>
    <row r="13" spans="1:3" ht="12.75">
      <c r="A13" s="9"/>
      <c r="B13" s="9"/>
      <c r="C13" s="79"/>
    </row>
    <row r="14" spans="1:15" ht="12.75">
      <c r="A14" s="9"/>
      <c r="B14" s="72" t="s">
        <v>63</v>
      </c>
      <c r="C14" s="73"/>
      <c r="D14" s="74">
        <f aca="true" t="shared" si="2" ref="D14:O14">$H$4-(D23/D17*10*(-1))</f>
        <v>4.574545454545451</v>
      </c>
      <c r="E14" s="74">
        <f t="shared" si="2"/>
        <v>73.5</v>
      </c>
      <c r="F14" s="74">
        <f t="shared" si="2"/>
        <v>5.635000000000002</v>
      </c>
      <c r="G14" s="74">
        <f t="shared" si="2"/>
        <v>10.0625</v>
      </c>
      <c r="H14" s="74">
        <f t="shared" si="2"/>
        <v>0</v>
      </c>
      <c r="I14" s="74">
        <f t="shared" si="2"/>
        <v>0</v>
      </c>
      <c r="J14" s="74">
        <f t="shared" si="2"/>
        <v>0</v>
      </c>
      <c r="K14" s="74">
        <f t="shared" si="2"/>
        <v>0</v>
      </c>
      <c r="L14" s="74">
        <f t="shared" si="2"/>
        <v>0</v>
      </c>
      <c r="M14" s="74">
        <f t="shared" si="2"/>
        <v>0</v>
      </c>
      <c r="N14" s="74">
        <f t="shared" si="2"/>
        <v>0</v>
      </c>
      <c r="O14" s="74">
        <f t="shared" si="2"/>
        <v>0</v>
      </c>
    </row>
    <row r="15" spans="1:18" ht="25.5" customHeight="1">
      <c r="A15" s="110" t="s">
        <v>69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>
        <v>8</v>
      </c>
      <c r="Q15" t="str">
        <f>Справочник!B11</f>
        <v>Рожь</v>
      </c>
      <c r="R15">
        <f t="shared" si="1"/>
        <v>0</v>
      </c>
    </row>
    <row r="16" spans="1:18" ht="32.25" customHeight="1">
      <c r="A16" s="13" t="s">
        <v>0</v>
      </c>
      <c r="B16" s="13" t="s">
        <v>1</v>
      </c>
      <c r="C16" s="38" t="s">
        <v>2</v>
      </c>
      <c r="D16" s="13" t="s">
        <v>6</v>
      </c>
      <c r="E16" s="13" t="s">
        <v>7</v>
      </c>
      <c r="F16" s="13" t="s">
        <v>8</v>
      </c>
      <c r="G16" s="14" t="s">
        <v>49</v>
      </c>
      <c r="H16" s="14" t="s">
        <v>50</v>
      </c>
      <c r="I16" s="14" t="s">
        <v>51</v>
      </c>
      <c r="J16" s="14" t="s">
        <v>52</v>
      </c>
      <c r="K16" s="14" t="s">
        <v>53</v>
      </c>
      <c r="L16" s="14" t="s">
        <v>54</v>
      </c>
      <c r="M16" s="15" t="s">
        <v>55</v>
      </c>
      <c r="N16" s="15" t="s">
        <v>56</v>
      </c>
      <c r="O16" s="15" t="s">
        <v>57</v>
      </c>
      <c r="P16">
        <v>9</v>
      </c>
      <c r="Q16" t="str">
        <f>Справочник!B12</f>
        <v>Рожь (зел.маса)</v>
      </c>
      <c r="R16">
        <f t="shared" si="1"/>
        <v>0</v>
      </c>
    </row>
    <row r="17" spans="1:18" ht="25.5" customHeight="1">
      <c r="A17" s="4">
        <v>1</v>
      </c>
      <c r="B17" s="5" t="s">
        <v>9</v>
      </c>
      <c r="C17" s="8" t="s">
        <v>10</v>
      </c>
      <c r="D17" s="6">
        <f>VLOOKUP($R$3,Справочник!$A$4:$N$32,D$12)</f>
        <v>66</v>
      </c>
      <c r="E17" s="6">
        <f>VLOOKUP($R$3,Справочник!$A$4:$N$32,E$12)</f>
        <v>15</v>
      </c>
      <c r="F17" s="6">
        <f>VLOOKUP($R$3,Справочник!$A$4:$N$32,F$12)</f>
        <v>20</v>
      </c>
      <c r="G17" s="6">
        <f>VLOOKUP($R$3,Справочник!$A$4:$N$32,G$12)</f>
        <v>0.8</v>
      </c>
      <c r="H17" s="6">
        <f>VLOOKUP($R$3,Справочник!$A$4:$N$32,H$12)</f>
        <v>10</v>
      </c>
      <c r="I17" s="6">
        <f>VLOOKUP($R$3,Справочник!$A$4:$N$32,I$12)</f>
        <v>6</v>
      </c>
      <c r="J17" s="6">
        <f>VLOOKUP($R$3,Справочник!$A$4:$N$32,J$12)</f>
        <v>0.04</v>
      </c>
      <c r="K17" s="6">
        <f>VLOOKUP($R$3,Справочник!$A$4:$N$32,K$12)</f>
        <v>0.1</v>
      </c>
      <c r="L17" s="6">
        <f>VLOOKUP($R$3,Справочник!$A$4:$N$32,L$12)</f>
        <v>0.14</v>
      </c>
      <c r="M17" s="6">
        <f>VLOOKUP($R$3,Справочник!$A$4:$N$32,M$12)</f>
        <v>0.01</v>
      </c>
      <c r="N17" s="6">
        <f>VLOOKUP($R$3,Справочник!$A$4:$N$32,N$12)</f>
        <v>0.001</v>
      </c>
      <c r="O17" s="6">
        <f>VLOOKUP($R$3,Справочник!$A$4:$N$32,O$12)</f>
        <v>0.1</v>
      </c>
      <c r="P17">
        <v>10</v>
      </c>
      <c r="Q17" t="str">
        <f>Справочник!B13</f>
        <v>Картофель</v>
      </c>
      <c r="R17">
        <f t="shared" si="1"/>
        <v>0</v>
      </c>
    </row>
    <row r="18" spans="1:18" ht="25.5">
      <c r="A18" s="4">
        <v>2</v>
      </c>
      <c r="B18" s="22" t="s">
        <v>11</v>
      </c>
      <c r="C18" s="23" t="s">
        <v>12</v>
      </c>
      <c r="D18" s="24">
        <f aca="true" t="shared" si="3" ref="D18:O18">$H$4/10*D17</f>
        <v>145.20000000000002</v>
      </c>
      <c r="E18" s="24">
        <f t="shared" si="3"/>
        <v>33</v>
      </c>
      <c r="F18" s="24">
        <f t="shared" si="3"/>
        <v>44</v>
      </c>
      <c r="G18" s="24">
        <f t="shared" si="3"/>
        <v>1.7600000000000002</v>
      </c>
      <c r="H18" s="24">
        <f t="shared" si="3"/>
        <v>22</v>
      </c>
      <c r="I18" s="24">
        <f t="shared" si="3"/>
        <v>13.200000000000001</v>
      </c>
      <c r="J18" s="24">
        <f t="shared" si="3"/>
        <v>0.08800000000000001</v>
      </c>
      <c r="K18" s="24">
        <f t="shared" si="3"/>
        <v>0.22000000000000003</v>
      </c>
      <c r="L18" s="24">
        <f t="shared" si="3"/>
        <v>0.30800000000000005</v>
      </c>
      <c r="M18" s="24">
        <f t="shared" si="3"/>
        <v>0.022000000000000002</v>
      </c>
      <c r="N18" s="24">
        <f t="shared" si="3"/>
        <v>0.0022</v>
      </c>
      <c r="O18" s="24">
        <f t="shared" si="3"/>
        <v>0.22000000000000003</v>
      </c>
      <c r="P18">
        <v>11</v>
      </c>
      <c r="Q18" t="str">
        <f>Справочник!B14</f>
        <v>Рапс озимый</v>
      </c>
      <c r="R18">
        <f t="shared" si="1"/>
        <v>0</v>
      </c>
    </row>
    <row r="19" spans="1:18" ht="25.5">
      <c r="A19" s="4">
        <v>3</v>
      </c>
      <c r="B19" s="5" t="s">
        <v>13</v>
      </c>
      <c r="C19" s="8" t="s">
        <v>14</v>
      </c>
      <c r="D19" s="6">
        <f aca="true" t="shared" si="4" ref="D19:O19">D11</f>
        <v>27.2</v>
      </c>
      <c r="E19" s="6">
        <f t="shared" si="4"/>
        <v>350</v>
      </c>
      <c r="F19" s="6">
        <f t="shared" si="4"/>
        <v>23</v>
      </c>
      <c r="G19" s="6">
        <f t="shared" si="4"/>
        <v>2.3</v>
      </c>
      <c r="H19" s="6">
        <f t="shared" si="4"/>
        <v>0</v>
      </c>
      <c r="I19" s="6">
        <f t="shared" si="4"/>
        <v>0</v>
      </c>
      <c r="J19" s="6">
        <f t="shared" si="4"/>
        <v>0</v>
      </c>
      <c r="K19" s="6">
        <f t="shared" si="4"/>
        <v>0</v>
      </c>
      <c r="L19" s="6">
        <f t="shared" si="4"/>
        <v>0</v>
      </c>
      <c r="M19" s="6">
        <f t="shared" si="4"/>
        <v>0</v>
      </c>
      <c r="N19" s="6">
        <f t="shared" si="4"/>
        <v>0</v>
      </c>
      <c r="O19" s="6">
        <f t="shared" si="4"/>
        <v>0</v>
      </c>
      <c r="P19">
        <v>12</v>
      </c>
      <c r="Q19" t="str">
        <f>Справочник!B15</f>
        <v>Кукурудза</v>
      </c>
      <c r="R19">
        <f t="shared" si="1"/>
        <v>0</v>
      </c>
    </row>
    <row r="20" spans="1:18" ht="12.75" customHeight="1">
      <c r="A20" s="4">
        <v>4</v>
      </c>
      <c r="B20" s="22" t="s">
        <v>48</v>
      </c>
      <c r="C20" s="23" t="s">
        <v>12</v>
      </c>
      <c r="D20" s="24">
        <f>D19*(IF($O$3&lt;30,$O$3,30)/10)</f>
        <v>81.6</v>
      </c>
      <c r="E20" s="24">
        <f aca="true" t="shared" si="5" ref="E20:O20">E19*$O$3/10</f>
        <v>1225</v>
      </c>
      <c r="F20" s="24">
        <f t="shared" si="5"/>
        <v>80.5</v>
      </c>
      <c r="G20" s="24">
        <f t="shared" si="5"/>
        <v>8.05</v>
      </c>
      <c r="H20" s="24">
        <f t="shared" si="5"/>
        <v>0</v>
      </c>
      <c r="I20" s="24">
        <f t="shared" si="5"/>
        <v>0</v>
      </c>
      <c r="J20" s="24">
        <f t="shared" si="5"/>
        <v>0</v>
      </c>
      <c r="K20" s="24">
        <f t="shared" si="5"/>
        <v>0</v>
      </c>
      <c r="L20" s="24">
        <f t="shared" si="5"/>
        <v>0</v>
      </c>
      <c r="M20" s="24">
        <f t="shared" si="5"/>
        <v>0</v>
      </c>
      <c r="N20" s="24">
        <f t="shared" si="5"/>
        <v>0</v>
      </c>
      <c r="O20" s="24">
        <f t="shared" si="5"/>
        <v>0</v>
      </c>
      <c r="P20">
        <v>13</v>
      </c>
      <c r="Q20" t="str">
        <f>Справочник!B16</f>
        <v>Кукурудза (зел.маса)</v>
      </c>
      <c r="R20">
        <f t="shared" si="1"/>
        <v>0</v>
      </c>
    </row>
    <row r="21" spans="1:18" ht="25.5">
      <c r="A21" s="4">
        <v>5</v>
      </c>
      <c r="B21" s="5" t="s">
        <v>15</v>
      </c>
      <c r="C21" s="8"/>
      <c r="D21" s="6">
        <f>VLOOKUP($R$3,Справочник!$A$36:$N$64,D12)</f>
        <v>0.37</v>
      </c>
      <c r="E21" s="6">
        <f>VLOOKUP($R$3,Справочник!$A$36:$N$64,E12)</f>
        <v>0.09</v>
      </c>
      <c r="F21" s="6">
        <f>VLOOKUP($R$3,Справочник!$A$36:$N$64,F12)</f>
        <v>0.14</v>
      </c>
      <c r="G21" s="6">
        <f>VLOOKUP($R$3,Справочник!$A$36:$N$64,G12)</f>
        <v>0.1</v>
      </c>
      <c r="H21" s="6">
        <f>VLOOKUP($R$3,Справочник!$A$36:$N$64,H12)</f>
        <v>0.1</v>
      </c>
      <c r="I21" s="6">
        <f>VLOOKUP($R$3,Справочник!$A$36:$N$64,I12)</f>
        <v>0.1</v>
      </c>
      <c r="J21" s="6">
        <f>VLOOKUP($R$3,Справочник!$A$36:$N$64,J12)</f>
        <v>0.1</v>
      </c>
      <c r="K21" s="6">
        <f>VLOOKUP($R$3,Справочник!$A$36:$N$64,K12)</f>
        <v>0.1</v>
      </c>
      <c r="L21" s="6">
        <f>VLOOKUP($R$3,Справочник!$A$36:$N$64,L12)</f>
        <v>0.1</v>
      </c>
      <c r="M21" s="6">
        <f>VLOOKUP($R$3,Справочник!$A$36:$N$64,M12)</f>
        <v>0.1</v>
      </c>
      <c r="N21" s="6">
        <f>VLOOKUP($R$3,Справочник!$A$36:$N$64,N12)</f>
        <v>0.1</v>
      </c>
      <c r="O21" s="6">
        <f>VLOOKUP($R$3,Справочник!$A$36:$N$64,O12)</f>
        <v>0.1</v>
      </c>
      <c r="P21">
        <v>14</v>
      </c>
      <c r="Q21" t="str">
        <f>Справочник!B17</f>
        <v>Люцерна (сено)</v>
      </c>
      <c r="R21">
        <f t="shared" si="1"/>
        <v>0</v>
      </c>
    </row>
    <row r="22" spans="1:18" ht="25.5">
      <c r="A22" s="4">
        <v>6</v>
      </c>
      <c r="B22" s="22" t="s">
        <v>16</v>
      </c>
      <c r="C22" s="23" t="s">
        <v>12</v>
      </c>
      <c r="D22" s="24">
        <f>D20*D21</f>
        <v>30.191999999999997</v>
      </c>
      <c r="E22" s="24">
        <f aca="true" t="shared" si="6" ref="E22:O22">E20*E21</f>
        <v>110.25</v>
      </c>
      <c r="F22" s="24">
        <f t="shared" si="6"/>
        <v>11.270000000000001</v>
      </c>
      <c r="G22" s="24">
        <f t="shared" si="6"/>
        <v>0.8050000000000002</v>
      </c>
      <c r="H22" s="24">
        <f t="shared" si="6"/>
        <v>0</v>
      </c>
      <c r="I22" s="24">
        <f t="shared" si="6"/>
        <v>0</v>
      </c>
      <c r="J22" s="24">
        <f t="shared" si="6"/>
        <v>0</v>
      </c>
      <c r="K22" s="24">
        <f t="shared" si="6"/>
        <v>0</v>
      </c>
      <c r="L22" s="24">
        <f t="shared" si="6"/>
        <v>0</v>
      </c>
      <c r="M22" s="24">
        <f t="shared" si="6"/>
        <v>0</v>
      </c>
      <c r="N22" s="24">
        <f t="shared" si="6"/>
        <v>0</v>
      </c>
      <c r="O22" s="24">
        <f t="shared" si="6"/>
        <v>0</v>
      </c>
      <c r="P22">
        <v>15</v>
      </c>
      <c r="Q22" t="str">
        <f>Справочник!B18</f>
        <v>Овес</v>
      </c>
      <c r="R22">
        <f t="shared" si="1"/>
        <v>0</v>
      </c>
    </row>
    <row r="23" spans="1:18" ht="25.5">
      <c r="A23" s="4">
        <v>10</v>
      </c>
      <c r="B23" s="25" t="s">
        <v>17</v>
      </c>
      <c r="C23" s="26" t="s">
        <v>12</v>
      </c>
      <c r="D23" s="27">
        <f>D22-D18</f>
        <v>-115.00800000000002</v>
      </c>
      <c r="E23" s="27">
        <f aca="true" t="shared" si="7" ref="E23:O23">E22-E18</f>
        <v>77.25</v>
      </c>
      <c r="F23" s="27">
        <f t="shared" si="7"/>
        <v>-32.73</v>
      </c>
      <c r="G23" s="27">
        <f t="shared" si="7"/>
        <v>-0.9550000000000001</v>
      </c>
      <c r="H23" s="27">
        <f t="shared" si="7"/>
        <v>-22</v>
      </c>
      <c r="I23" s="27">
        <f t="shared" si="7"/>
        <v>-13.200000000000001</v>
      </c>
      <c r="J23" s="27">
        <f t="shared" si="7"/>
        <v>-0.08800000000000001</v>
      </c>
      <c r="K23" s="27">
        <f t="shared" si="7"/>
        <v>-0.22000000000000003</v>
      </c>
      <c r="L23" s="27">
        <f t="shared" si="7"/>
        <v>-0.30800000000000005</v>
      </c>
      <c r="M23" s="27">
        <f t="shared" si="7"/>
        <v>-0.022000000000000002</v>
      </c>
      <c r="N23" s="27">
        <f t="shared" si="7"/>
        <v>-0.0022</v>
      </c>
      <c r="O23" s="27">
        <f t="shared" si="7"/>
        <v>-0.22000000000000003</v>
      </c>
      <c r="P23">
        <v>16</v>
      </c>
      <c r="Q23" t="str">
        <f>Справочник!B19</f>
        <v>Просо</v>
      </c>
      <c r="R23">
        <f t="shared" si="1"/>
        <v>0</v>
      </c>
    </row>
    <row r="24" spans="1:18" ht="25.5">
      <c r="A24" s="4">
        <v>11</v>
      </c>
      <c r="B24" s="5" t="s">
        <v>18</v>
      </c>
      <c r="C24" s="8"/>
      <c r="D24" s="6">
        <f>VLOOKUP($R$3,Справочник!$A$67:$N$95,D12)</f>
        <v>0.75</v>
      </c>
      <c r="E24" s="6">
        <f>VLOOKUP($R$3,Справочник!$A$67:$N$95,E12)</f>
        <v>0.5</v>
      </c>
      <c r="F24" s="6">
        <f>VLOOKUP($R$3,Справочник!$A$67:$N$95,F12)</f>
        <v>0.85</v>
      </c>
      <c r="G24" s="6">
        <f>VLOOKUP($R$3,Справочник!$A$67:$N$95,G12)</f>
        <v>0.2</v>
      </c>
      <c r="H24" s="6">
        <f>VLOOKUP($R$3,Справочник!$A$67:$N$95,H12)</f>
        <v>0.2</v>
      </c>
      <c r="I24" s="6">
        <f>VLOOKUP($R$3,Справочник!$A$67:$N$95,I12)</f>
        <v>0.2</v>
      </c>
      <c r="J24" s="6">
        <f>VLOOKUP($R$3,Справочник!$A$67:$N$95,J12)</f>
        <v>0.2</v>
      </c>
      <c r="K24" s="6">
        <f>VLOOKUP($R$3,Справочник!$A$67:$N$95,K12)</f>
        <v>0.2</v>
      </c>
      <c r="L24" s="6">
        <f>VLOOKUP($R$3,Справочник!$A$67:$N$95,L12)</f>
        <v>0.2</v>
      </c>
      <c r="M24" s="6">
        <f>VLOOKUP($R$3,Справочник!$A$67:$N$95,M12)</f>
        <v>0.2</v>
      </c>
      <c r="N24" s="6">
        <f>VLOOKUP($R$3,Справочник!$A$67:$N$95,N12)</f>
        <v>0.2</v>
      </c>
      <c r="O24" s="6">
        <f>VLOOKUP($R$3,Справочник!$A$67:$N$95,O12)</f>
        <v>0.2</v>
      </c>
      <c r="P24">
        <v>17</v>
      </c>
      <c r="Q24" t="str">
        <f>Справочник!B20</f>
        <v>Пшеница озимая</v>
      </c>
      <c r="R24">
        <f t="shared" si="1"/>
        <v>0</v>
      </c>
    </row>
    <row r="25" spans="1:18" ht="25.5">
      <c r="A25" s="30">
        <v>12</v>
      </c>
      <c r="B25" s="31" t="s">
        <v>19</v>
      </c>
      <c r="C25" s="28" t="s">
        <v>12</v>
      </c>
      <c r="D25" s="29">
        <f>(-1)*IF(D23&lt;0,D23/D24,0)</f>
        <v>153.34400000000002</v>
      </c>
      <c r="E25" s="29">
        <f aca="true" t="shared" si="8" ref="E25:O25">(-1)*IF(E23&lt;0,E23/E24,0)</f>
        <v>0</v>
      </c>
      <c r="F25" s="29">
        <f t="shared" si="8"/>
        <v>38.50588235294117</v>
      </c>
      <c r="G25" s="29">
        <f t="shared" si="8"/>
        <v>4.775</v>
      </c>
      <c r="H25" s="29">
        <f t="shared" si="8"/>
        <v>110</v>
      </c>
      <c r="I25" s="29">
        <f t="shared" si="8"/>
        <v>66</v>
      </c>
      <c r="J25" s="29">
        <f t="shared" si="8"/>
        <v>0.44</v>
      </c>
      <c r="K25" s="29">
        <f t="shared" si="8"/>
        <v>1.1</v>
      </c>
      <c r="L25" s="29">
        <f t="shared" si="8"/>
        <v>1.5400000000000003</v>
      </c>
      <c r="M25" s="29">
        <f t="shared" si="8"/>
        <v>0.11</v>
      </c>
      <c r="N25" s="29">
        <f t="shared" si="8"/>
        <v>0.011</v>
      </c>
      <c r="O25" s="29">
        <f t="shared" si="8"/>
        <v>1.1</v>
      </c>
      <c r="P25">
        <v>18</v>
      </c>
      <c r="Q25" t="str">
        <f>Справочник!B21</f>
        <v>Пшеница яровая</v>
      </c>
      <c r="R25">
        <f t="shared" si="1"/>
        <v>0</v>
      </c>
    </row>
    <row r="26" spans="1:18" ht="25.5">
      <c r="A26" s="80"/>
      <c r="B26" s="83" t="s">
        <v>83</v>
      </c>
      <c r="C26" s="83" t="s">
        <v>85</v>
      </c>
      <c r="D26" s="3"/>
      <c r="E26" s="3"/>
      <c r="F26" s="3"/>
      <c r="G26" s="3"/>
      <c r="H26" s="3"/>
      <c r="P26">
        <v>19</v>
      </c>
      <c r="Q26" t="str">
        <f>Справочник!B22</f>
        <v>Рис</v>
      </c>
      <c r="R26">
        <f t="shared" si="1"/>
        <v>0</v>
      </c>
    </row>
    <row r="27" spans="1:15" ht="12.75">
      <c r="A27" s="80"/>
      <c r="B27" s="92" t="s">
        <v>93</v>
      </c>
      <c r="C27" s="90"/>
      <c r="D27" s="91"/>
      <c r="E27" s="91">
        <f>IF(E11&lt;80,E18*0.5,IF(E11&lt;140,0,IF(E11&lt;250,E18*(-0.5),IF(E11&gt;250,E18*(-0.75),0))))</f>
        <v>-24.75</v>
      </c>
      <c r="F27" s="91"/>
      <c r="G27" s="91"/>
      <c r="H27" s="91"/>
      <c r="I27" s="80"/>
      <c r="J27" s="80"/>
      <c r="K27" s="80"/>
      <c r="L27" s="80"/>
      <c r="M27" s="80"/>
      <c r="N27" s="80"/>
      <c r="O27" s="80"/>
    </row>
    <row r="28" spans="1:18" ht="12.75">
      <c r="A28" s="80"/>
      <c r="B28" s="80" t="s">
        <v>84</v>
      </c>
      <c r="C28" s="81" t="s">
        <v>86</v>
      </c>
      <c r="D28" s="82">
        <f>IF(C28=0,0,D25*(-0.7))</f>
        <v>-107.34080000000002</v>
      </c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>
        <v>20</v>
      </c>
      <c r="Q28" t="str">
        <f>Справочник!B23</f>
        <v>Подсолнух</v>
      </c>
      <c r="R28">
        <f t="shared" si="1"/>
        <v>0</v>
      </c>
    </row>
    <row r="29" spans="1:15" ht="12.75">
      <c r="A29" s="80"/>
      <c r="B29" s="80" t="s">
        <v>91</v>
      </c>
      <c r="C29" s="81"/>
      <c r="D29" s="82">
        <f>IF(C29=0,0,-20)</f>
        <v>0</v>
      </c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</row>
    <row r="30" spans="1:15" ht="12.75">
      <c r="A30" s="80"/>
      <c r="B30" s="80" t="s">
        <v>87</v>
      </c>
      <c r="C30" s="81"/>
      <c r="D30" s="82">
        <f>IF(C30=0,0,20)</f>
        <v>0</v>
      </c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</row>
    <row r="31" spans="1:15" ht="12.75">
      <c r="A31" s="80"/>
      <c r="B31" s="85" t="s">
        <v>88</v>
      </c>
      <c r="C31" s="81"/>
      <c r="D31" s="82">
        <f>IF(C31=0,0,20)</f>
        <v>0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</row>
    <row r="32" spans="1:15" ht="12.75">
      <c r="A32" s="86"/>
      <c r="B32" s="86" t="s">
        <v>90</v>
      </c>
      <c r="C32" s="87"/>
      <c r="D32" s="88">
        <f>D25+D28+D29+D30+D31</f>
        <v>46.00320000000001</v>
      </c>
      <c r="E32" s="88">
        <f>E25+E28+E29+E30+E31+E27</f>
        <v>-24.75</v>
      </c>
      <c r="F32" s="88">
        <f>F25</f>
        <v>38.50588235294117</v>
      </c>
      <c r="G32" s="88">
        <f aca="true" t="shared" si="9" ref="G32:O32">G25</f>
        <v>4.775</v>
      </c>
      <c r="H32" s="88">
        <f t="shared" si="9"/>
        <v>110</v>
      </c>
      <c r="I32" s="88">
        <f t="shared" si="9"/>
        <v>66</v>
      </c>
      <c r="J32" s="88">
        <f t="shared" si="9"/>
        <v>0.44</v>
      </c>
      <c r="K32" s="88">
        <f t="shared" si="9"/>
        <v>1.1</v>
      </c>
      <c r="L32" s="88">
        <f t="shared" si="9"/>
        <v>1.5400000000000003</v>
      </c>
      <c r="M32" s="88">
        <f t="shared" si="9"/>
        <v>0.11</v>
      </c>
      <c r="N32" s="88">
        <f t="shared" si="9"/>
        <v>0.011</v>
      </c>
      <c r="O32" s="88">
        <f t="shared" si="9"/>
        <v>1.1</v>
      </c>
    </row>
    <row r="33" spans="2:18" ht="12.75">
      <c r="B33" s="2"/>
      <c r="C33" s="1"/>
      <c r="D33" s="3"/>
      <c r="E33" s="3"/>
      <c r="F33" s="3"/>
      <c r="G33" s="3"/>
      <c r="H33" s="3"/>
      <c r="P33">
        <v>21</v>
      </c>
      <c r="Q33" t="str">
        <f>Справочник!B24</f>
        <v>Соя</v>
      </c>
      <c r="R33">
        <f t="shared" si="1"/>
        <v>0</v>
      </c>
    </row>
    <row r="34" spans="2:18" ht="12.75">
      <c r="B34" s="32" t="s">
        <v>62</v>
      </c>
      <c r="C34" s="1"/>
      <c r="D34" s="3"/>
      <c r="E34" s="3"/>
      <c r="F34" s="3"/>
      <c r="G34" s="3"/>
      <c r="H34" s="3"/>
      <c r="P34">
        <v>22</v>
      </c>
      <c r="Q34" t="str">
        <f>Справочник!B25</f>
        <v>Сенокосы природные</v>
      </c>
      <c r="R34">
        <f t="shared" si="1"/>
        <v>0</v>
      </c>
    </row>
    <row r="35" spans="2:18" ht="15" customHeight="1">
      <c r="B35" s="105">
        <f>IF(O3&lt;35,"Проведите глубокое рыхление, понизте плотность почвы","")</f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>
        <v>23</v>
      </c>
      <c r="Q35" t="str">
        <f>Справочник!B26</f>
        <v>Травы многолетние</v>
      </c>
      <c r="R35">
        <f t="shared" si="1"/>
        <v>0</v>
      </c>
    </row>
    <row r="36" spans="2:18" ht="12.75">
      <c r="B36" s="2"/>
      <c r="C36" s="1"/>
      <c r="D36" s="3"/>
      <c r="E36" s="3"/>
      <c r="F36" s="3"/>
      <c r="G36" s="3"/>
      <c r="H36" s="3"/>
      <c r="P36">
        <v>25</v>
      </c>
      <c r="Q36">
        <f>Справочник!B28</f>
        <v>0</v>
      </c>
      <c r="R36">
        <f t="shared" si="1"/>
        <v>0</v>
      </c>
    </row>
    <row r="37" spans="2:18" ht="12.75">
      <c r="B37" s="2"/>
      <c r="C37" s="1"/>
      <c r="D37" s="3"/>
      <c r="E37" s="3"/>
      <c r="F37" s="3"/>
      <c r="G37" s="3"/>
      <c r="H37" s="3"/>
      <c r="P37">
        <v>26</v>
      </c>
      <c r="Q37">
        <f>Справочник!B29</f>
        <v>0</v>
      </c>
      <c r="R37">
        <f t="shared" si="1"/>
        <v>0</v>
      </c>
    </row>
    <row r="38" spans="2:18" ht="12.75">
      <c r="B38" s="2"/>
      <c r="C38" s="1"/>
      <c r="D38" s="3"/>
      <c r="E38" s="3"/>
      <c r="F38" s="3"/>
      <c r="G38" s="3"/>
      <c r="H38" s="3"/>
      <c r="P38">
        <v>27</v>
      </c>
      <c r="Q38">
        <f>Справочник!B30</f>
        <v>0</v>
      </c>
      <c r="R38">
        <f t="shared" si="1"/>
        <v>0</v>
      </c>
    </row>
    <row r="39" spans="2:18" ht="12.75">
      <c r="B39" s="2"/>
      <c r="C39" s="1"/>
      <c r="D39" s="3"/>
      <c r="E39" s="3"/>
      <c r="F39" s="3"/>
      <c r="G39" s="3"/>
      <c r="H39" s="3"/>
      <c r="P39">
        <v>28</v>
      </c>
      <c r="Q39">
        <f>Справочник!B31</f>
        <v>0</v>
      </c>
      <c r="R39">
        <f t="shared" si="1"/>
        <v>0</v>
      </c>
    </row>
    <row r="40" spans="2:18" ht="12.75">
      <c r="B40" s="2"/>
      <c r="C40" s="1"/>
      <c r="D40" s="3"/>
      <c r="E40" s="3"/>
      <c r="F40" s="3"/>
      <c r="G40" s="3"/>
      <c r="H40" s="3"/>
      <c r="P40">
        <v>29</v>
      </c>
      <c r="Q40">
        <f>Справочник!B32</f>
        <v>0</v>
      </c>
      <c r="R40">
        <f t="shared" si="1"/>
        <v>0</v>
      </c>
    </row>
    <row r="41" spans="2:8" ht="12.75">
      <c r="B41" s="2"/>
      <c r="C41" s="1"/>
      <c r="D41" s="3"/>
      <c r="E41" s="3"/>
      <c r="F41" s="3"/>
      <c r="G41" s="3"/>
      <c r="H41" s="3"/>
    </row>
    <row r="42" spans="2:8" ht="12.75">
      <c r="B42" s="2"/>
      <c r="C42" s="1"/>
      <c r="D42" s="3"/>
      <c r="E42" s="3"/>
      <c r="F42" s="3"/>
      <c r="G42" s="3"/>
      <c r="H42" s="3"/>
    </row>
    <row r="43" spans="2:8" ht="12.75">
      <c r="B43" s="2"/>
      <c r="C43" s="1"/>
      <c r="D43" s="3"/>
      <c r="E43" s="3"/>
      <c r="F43" s="3"/>
      <c r="G43" s="3"/>
      <c r="H43" s="3"/>
    </row>
    <row r="44" spans="2:8" ht="12.75">
      <c r="B44" s="2"/>
      <c r="C44" s="1"/>
      <c r="D44" s="3"/>
      <c r="E44" s="3"/>
      <c r="F44" s="3"/>
      <c r="G44" s="3"/>
      <c r="H44" s="3"/>
    </row>
    <row r="45" spans="2:8" ht="12.75">
      <c r="B45" s="2"/>
      <c r="C45" s="1"/>
      <c r="D45" s="3"/>
      <c r="E45" s="3"/>
      <c r="F45" s="3"/>
      <c r="G45" s="3"/>
      <c r="H45" s="3"/>
    </row>
    <row r="46" spans="2:8" ht="12.75">
      <c r="B46" s="2"/>
      <c r="C46" s="1"/>
      <c r="D46" s="3"/>
      <c r="E46" s="3"/>
      <c r="F46" s="3"/>
      <c r="G46" s="3"/>
      <c r="H46" s="3"/>
    </row>
    <row r="47" spans="2:8" ht="12.75">
      <c r="B47" s="2"/>
      <c r="C47" s="1"/>
      <c r="D47" s="3"/>
      <c r="E47" s="3"/>
      <c r="F47" s="3"/>
      <c r="G47" s="3"/>
      <c r="H47" s="3"/>
    </row>
    <row r="48" spans="2:8" ht="12.75">
      <c r="B48" s="2"/>
      <c r="C48" s="1"/>
      <c r="D48" s="3"/>
      <c r="E48" s="3"/>
      <c r="F48" s="3"/>
      <c r="G48" s="3"/>
      <c r="H48" s="3"/>
    </row>
    <row r="49" spans="2:8" ht="12.75">
      <c r="B49" s="2"/>
      <c r="C49" s="1"/>
      <c r="D49" s="3"/>
      <c r="E49" s="3"/>
      <c r="F49" s="3"/>
      <c r="G49" s="3"/>
      <c r="H49" s="3"/>
    </row>
    <row r="50" spans="2:8" ht="12.75">
      <c r="B50" s="2"/>
      <c r="C50" s="1"/>
      <c r="D50" s="3"/>
      <c r="E50" s="3"/>
      <c r="F50" s="3"/>
      <c r="G50" s="3"/>
      <c r="H50" s="3"/>
    </row>
    <row r="51" spans="2:8" ht="12.75">
      <c r="B51" s="2"/>
      <c r="C51" s="1"/>
      <c r="D51" s="3"/>
      <c r="E51" s="3"/>
      <c r="F51" s="3"/>
      <c r="G51" s="3"/>
      <c r="H51" s="3"/>
    </row>
    <row r="52" spans="2:8" ht="12.75">
      <c r="B52" s="2"/>
      <c r="C52" s="1"/>
      <c r="D52" s="3"/>
      <c r="E52" s="3"/>
      <c r="F52" s="3"/>
      <c r="G52" s="3"/>
      <c r="H52" s="3"/>
    </row>
    <row r="53" spans="2:8" ht="12.75">
      <c r="B53" s="2"/>
      <c r="C53" s="1"/>
      <c r="D53" s="3"/>
      <c r="E53" s="3"/>
      <c r="F53" s="3"/>
      <c r="G53" s="3"/>
      <c r="H53" s="3"/>
    </row>
    <row r="54" spans="2:8" ht="12.75">
      <c r="B54" s="2"/>
      <c r="C54" s="1"/>
      <c r="D54" s="3"/>
      <c r="E54" s="3"/>
      <c r="F54" s="3"/>
      <c r="G54" s="3"/>
      <c r="H54" s="3"/>
    </row>
    <row r="55" spans="2:8" ht="12.75">
      <c r="B55" s="2"/>
      <c r="C55" s="1"/>
      <c r="D55" s="3"/>
      <c r="E55" s="3"/>
      <c r="F55" s="3"/>
      <c r="G55" s="3"/>
      <c r="H55" s="3"/>
    </row>
    <row r="56" spans="2:8" ht="12.75">
      <c r="B56" s="2"/>
      <c r="C56" s="1"/>
      <c r="D56" s="3"/>
      <c r="E56" s="3"/>
      <c r="F56" s="3"/>
      <c r="G56" s="3"/>
      <c r="H56" s="3"/>
    </row>
    <row r="57" spans="2:8" ht="12.75">
      <c r="B57" s="2"/>
      <c r="C57" s="1"/>
      <c r="D57" s="3"/>
      <c r="E57" s="3"/>
      <c r="F57" s="3"/>
      <c r="G57" s="3"/>
      <c r="H57" s="3"/>
    </row>
    <row r="58" spans="2:8" ht="12.75">
      <c r="B58" s="2"/>
      <c r="C58" s="1"/>
      <c r="D58" s="3"/>
      <c r="E58" s="3"/>
      <c r="F58" s="3"/>
      <c r="G58" s="3"/>
      <c r="H58" s="3"/>
    </row>
    <row r="59" spans="2:8" ht="12.75">
      <c r="B59" s="2"/>
      <c r="C59" s="1"/>
      <c r="D59" s="3"/>
      <c r="E59" s="3"/>
      <c r="F59" s="3"/>
      <c r="G59" s="3"/>
      <c r="H59" s="3"/>
    </row>
    <row r="60" spans="2:8" ht="12.75">
      <c r="B60" s="2"/>
      <c r="C60" s="1"/>
      <c r="D60" s="3"/>
      <c r="E60" s="3"/>
      <c r="F60" s="3"/>
      <c r="G60" s="3"/>
      <c r="H60" s="3"/>
    </row>
    <row r="61" spans="2:8" ht="12.75">
      <c r="B61" s="2"/>
      <c r="C61" s="1"/>
      <c r="D61" s="3"/>
      <c r="E61" s="3"/>
      <c r="F61" s="3"/>
      <c r="G61" s="3"/>
      <c r="H61" s="3"/>
    </row>
    <row r="62" spans="2:8" ht="12.75">
      <c r="B62" s="2"/>
      <c r="C62" s="1"/>
      <c r="D62" s="3"/>
      <c r="E62" s="3"/>
      <c r="F62" s="3"/>
      <c r="G62" s="3"/>
      <c r="H62" s="3"/>
    </row>
    <row r="63" spans="2:8" ht="12.75">
      <c r="B63" s="2"/>
      <c r="C63" s="1"/>
      <c r="D63" s="3"/>
      <c r="E63" s="3"/>
      <c r="F63" s="3"/>
      <c r="G63" s="3"/>
      <c r="H63" s="3"/>
    </row>
    <row r="64" spans="2:8" ht="12.75">
      <c r="B64" s="2"/>
      <c r="C64" s="1"/>
      <c r="D64" s="3"/>
      <c r="E64" s="3"/>
      <c r="F64" s="3"/>
      <c r="G64" s="3"/>
      <c r="H64" s="3"/>
    </row>
    <row r="65" spans="2:8" ht="12.75">
      <c r="B65" s="2"/>
      <c r="C65" s="1"/>
      <c r="D65" s="3"/>
      <c r="E65" s="3"/>
      <c r="F65" s="3"/>
      <c r="G65" s="3"/>
      <c r="H65" s="3"/>
    </row>
    <row r="66" spans="2:8" ht="12.75">
      <c r="B66" s="2"/>
      <c r="C66" s="1"/>
      <c r="D66" s="3"/>
      <c r="E66" s="3"/>
      <c r="F66" s="3"/>
      <c r="G66" s="3"/>
      <c r="H66" s="3"/>
    </row>
    <row r="67" spans="2:8" ht="12.75">
      <c r="B67" s="2"/>
      <c r="C67" s="1"/>
      <c r="D67" s="3"/>
      <c r="E67" s="3"/>
      <c r="F67" s="3"/>
      <c r="G67" s="3"/>
      <c r="H67" s="3"/>
    </row>
    <row r="68" spans="2:8" ht="12.75">
      <c r="B68" s="2"/>
      <c r="C68" s="1"/>
      <c r="D68" s="3"/>
      <c r="E68" s="3"/>
      <c r="F68" s="3"/>
      <c r="G68" s="3"/>
      <c r="H68" s="3"/>
    </row>
    <row r="69" spans="2:8" ht="12.75">
      <c r="B69" s="2"/>
      <c r="C69" s="1"/>
      <c r="D69" s="3"/>
      <c r="E69" s="3"/>
      <c r="F69" s="3"/>
      <c r="G69" s="3"/>
      <c r="H69" s="3"/>
    </row>
    <row r="70" spans="2:8" ht="12.75">
      <c r="B70" s="2"/>
      <c r="C70" s="1"/>
      <c r="D70" s="3"/>
      <c r="E70" s="3"/>
      <c r="F70" s="3"/>
      <c r="G70" s="3"/>
      <c r="H70" s="3"/>
    </row>
    <row r="71" spans="2:8" ht="12.75">
      <c r="B71" s="2"/>
      <c r="C71" s="1"/>
      <c r="D71" s="3"/>
      <c r="E71" s="3"/>
      <c r="F71" s="3"/>
      <c r="G71" s="3"/>
      <c r="H71" s="3"/>
    </row>
    <row r="72" spans="2:8" ht="12.75">
      <c r="B72" s="2"/>
      <c r="C72" s="1"/>
      <c r="D72" s="3"/>
      <c r="E72" s="3"/>
      <c r="F72" s="3"/>
      <c r="G72" s="3"/>
      <c r="H72" s="3"/>
    </row>
    <row r="73" spans="2:8" ht="12.75">
      <c r="B73" s="2"/>
      <c r="C73" s="1"/>
      <c r="D73" s="3"/>
      <c r="E73" s="3"/>
      <c r="F73" s="3"/>
      <c r="G73" s="3"/>
      <c r="H73" s="3"/>
    </row>
    <row r="74" spans="2:8" ht="12.75">
      <c r="B74" s="2"/>
      <c r="C74" s="1"/>
      <c r="D74" s="3"/>
      <c r="E74" s="3"/>
      <c r="F74" s="3"/>
      <c r="G74" s="3"/>
      <c r="H74" s="3"/>
    </row>
    <row r="75" spans="2:8" ht="12.75">
      <c r="B75" s="2"/>
      <c r="C75" s="1"/>
      <c r="D75" s="3"/>
      <c r="E75" s="3"/>
      <c r="F75" s="3"/>
      <c r="G75" s="3"/>
      <c r="H75" s="3"/>
    </row>
    <row r="76" spans="2:8" ht="12.75">
      <c r="B76" s="2"/>
      <c r="C76" s="1"/>
      <c r="D76" s="3"/>
      <c r="E76" s="3"/>
      <c r="F76" s="3"/>
      <c r="G76" s="3"/>
      <c r="H76" s="3"/>
    </row>
    <row r="77" spans="2:3" ht="12.75">
      <c r="B77" s="2"/>
      <c r="C77" s="1"/>
    </row>
    <row r="78" spans="2:3" ht="12.75">
      <c r="B78" s="2"/>
      <c r="C78" s="1"/>
    </row>
    <row r="79" spans="2:3" ht="12.75">
      <c r="B79" s="2"/>
      <c r="C79" s="1"/>
    </row>
    <row r="80" spans="2:3" ht="12.75">
      <c r="B80" s="2"/>
      <c r="C80" s="1"/>
    </row>
    <row r="81" spans="2:3" ht="12.75">
      <c r="B81" s="2"/>
      <c r="C81" s="1"/>
    </row>
    <row r="82" spans="2:3" ht="12.75">
      <c r="B82" s="2"/>
      <c r="C82" s="1"/>
    </row>
    <row r="83" spans="2:3" ht="12.75">
      <c r="B83" s="2"/>
      <c r="C83" s="1"/>
    </row>
    <row r="84" spans="2:3" ht="12.75">
      <c r="B84" s="2"/>
      <c r="C84" s="1"/>
    </row>
    <row r="85" spans="2:3" ht="12.75">
      <c r="B85" s="2"/>
      <c r="C85" s="1"/>
    </row>
    <row r="86" spans="2:3" ht="12.75">
      <c r="B86" s="2"/>
      <c r="C86" s="1"/>
    </row>
    <row r="87" spans="2:3" ht="12.75">
      <c r="B87" s="2"/>
      <c r="C87" s="1"/>
    </row>
    <row r="88" spans="2:3" ht="12.75">
      <c r="B88" s="2"/>
      <c r="C88" s="1"/>
    </row>
    <row r="89" spans="2:3" ht="12.75">
      <c r="B89" s="2"/>
      <c r="C89" s="1"/>
    </row>
    <row r="90" spans="2:3" ht="12.75">
      <c r="B90" s="2"/>
      <c r="C90" s="1"/>
    </row>
    <row r="91" spans="2:3" ht="12.75">
      <c r="B91" s="2"/>
      <c r="C91" s="1"/>
    </row>
    <row r="92" spans="2:3" ht="12.75">
      <c r="B92" s="2"/>
      <c r="C92" s="1"/>
    </row>
    <row r="93" spans="2:3" ht="12.75">
      <c r="B93" s="2"/>
      <c r="C93" s="1"/>
    </row>
    <row r="94" spans="2:3" ht="12.75">
      <c r="B94" s="2"/>
      <c r="C94" s="1"/>
    </row>
    <row r="95" spans="2:3" ht="12.75">
      <c r="B95" s="2"/>
      <c r="C95" s="1"/>
    </row>
    <row r="96" spans="2:3" ht="12.75">
      <c r="B96" s="2"/>
      <c r="C96" s="1"/>
    </row>
    <row r="97" spans="2:3" ht="12.75">
      <c r="B97" s="2"/>
      <c r="C97" s="1"/>
    </row>
    <row r="98" spans="2:3" ht="12.75">
      <c r="B98" s="2"/>
      <c r="C98" s="1"/>
    </row>
    <row r="99" spans="2:3" ht="12.75">
      <c r="B99" s="2"/>
      <c r="C99" s="1"/>
    </row>
    <row r="100" spans="2:3" ht="12.75">
      <c r="B100" s="2"/>
      <c r="C100" s="1"/>
    </row>
    <row r="101" spans="2:3" ht="12.75">
      <c r="B101" s="2"/>
      <c r="C101" s="1"/>
    </row>
    <row r="102" spans="2:3" ht="12.75">
      <c r="B102" s="2"/>
      <c r="C102" s="1"/>
    </row>
    <row r="103" spans="2:3" ht="12.75">
      <c r="B103" s="2"/>
      <c r="C103" s="1"/>
    </row>
    <row r="104" spans="2:3" ht="12.75">
      <c r="B104" s="2"/>
      <c r="C104" s="1"/>
    </row>
    <row r="105" spans="2:3" ht="12.75">
      <c r="B105" s="2"/>
      <c r="C105" s="1"/>
    </row>
    <row r="106" spans="2:3" ht="12.75">
      <c r="B106" s="2"/>
      <c r="C106" s="1"/>
    </row>
    <row r="107" spans="2:3" ht="12.75">
      <c r="B107" s="2"/>
      <c r="C107" s="1"/>
    </row>
    <row r="108" spans="2:3" ht="12.75">
      <c r="B108" s="2"/>
      <c r="C108" s="1"/>
    </row>
    <row r="109" spans="2:3" ht="12.75">
      <c r="B109" s="2"/>
      <c r="C109" s="1"/>
    </row>
    <row r="110" spans="2:3" ht="12.75">
      <c r="B110" s="2"/>
      <c r="C110" s="1"/>
    </row>
    <row r="111" spans="2:3" ht="12.75">
      <c r="B111" s="2"/>
      <c r="C111" s="1"/>
    </row>
    <row r="112" spans="2:3" ht="12.75">
      <c r="B112" s="2"/>
      <c r="C112" s="1"/>
    </row>
    <row r="113" spans="2:3" ht="12.75">
      <c r="B113" s="2"/>
      <c r="C113" s="1"/>
    </row>
    <row r="114" spans="2:3" ht="12.75">
      <c r="B114" s="2"/>
      <c r="C114" s="1"/>
    </row>
    <row r="115" spans="2:3" ht="12.75">
      <c r="B115" s="2"/>
      <c r="C115" s="1"/>
    </row>
    <row r="116" spans="2:3" ht="12.75">
      <c r="B116" s="2"/>
      <c r="C116" s="1"/>
    </row>
    <row r="117" spans="2:3" ht="12.75">
      <c r="B117" s="2"/>
      <c r="C117" s="1"/>
    </row>
    <row r="118" spans="2:3" ht="12.75">
      <c r="B118" s="2"/>
      <c r="C118" s="1"/>
    </row>
    <row r="119" spans="2:3" ht="12.75">
      <c r="B119" s="2"/>
      <c r="C119" s="1"/>
    </row>
    <row r="120" spans="2:3" ht="12.75">
      <c r="B120" s="2"/>
      <c r="C120" s="1"/>
    </row>
    <row r="121" spans="2:3" ht="12.75">
      <c r="B121" s="2"/>
      <c r="C121" s="1"/>
    </row>
    <row r="122" spans="2:3" ht="12.75">
      <c r="B122" s="2"/>
      <c r="C122" s="1"/>
    </row>
    <row r="123" spans="2:3" ht="12.75">
      <c r="B123" s="2"/>
      <c r="C123" s="1"/>
    </row>
    <row r="124" spans="2:3" ht="12.75">
      <c r="B124" s="2"/>
      <c r="C124" s="1"/>
    </row>
    <row r="125" spans="2:3" ht="12.75">
      <c r="B125" s="2"/>
      <c r="C125" s="1"/>
    </row>
    <row r="126" spans="2:3" ht="12.75">
      <c r="B126" s="2"/>
      <c r="C126" s="1"/>
    </row>
    <row r="127" spans="2:3" ht="12.75">
      <c r="B127" s="2"/>
      <c r="C127" s="1"/>
    </row>
    <row r="128" spans="2:3" ht="12.75">
      <c r="B128" s="2"/>
      <c r="C128" s="1"/>
    </row>
    <row r="129" spans="2:3" ht="12.75">
      <c r="B129" s="2"/>
      <c r="C129" s="1"/>
    </row>
    <row r="130" spans="2:3" ht="12.75">
      <c r="B130" s="2"/>
      <c r="C130" s="1"/>
    </row>
    <row r="131" spans="2:3" ht="12.75">
      <c r="B131" s="2"/>
      <c r="C131" s="1"/>
    </row>
    <row r="132" spans="2:3" ht="12.75">
      <c r="B132" s="2"/>
      <c r="C132" s="1"/>
    </row>
    <row r="133" spans="2:3" ht="12.75">
      <c r="B133" s="2"/>
      <c r="C133" s="1"/>
    </row>
    <row r="134" spans="2:3" ht="12.75">
      <c r="B134" s="2"/>
      <c r="C134" s="1"/>
    </row>
    <row r="135" spans="2:3" ht="12.75">
      <c r="B135" s="2"/>
      <c r="C135" s="1"/>
    </row>
    <row r="136" spans="2:3" ht="12.75">
      <c r="B136" s="2"/>
      <c r="C136" s="1"/>
    </row>
    <row r="137" spans="2:3" ht="12.75">
      <c r="B137" s="2"/>
      <c r="C137" s="1"/>
    </row>
    <row r="138" spans="2:3" ht="12.75">
      <c r="B138" s="2"/>
      <c r="C138" s="1"/>
    </row>
    <row r="139" spans="2:3" ht="12.75">
      <c r="B139" s="2"/>
      <c r="C139" s="1"/>
    </row>
    <row r="140" spans="2:3" ht="12.75">
      <c r="B140" s="2"/>
      <c r="C140" s="1"/>
    </row>
    <row r="141" spans="2:3" ht="12.75">
      <c r="B141" s="2"/>
      <c r="C141" s="1"/>
    </row>
    <row r="142" spans="2:3" ht="12.75">
      <c r="B142" s="2"/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</sheetData>
  <sheetProtection/>
  <mergeCells count="11">
    <mergeCell ref="D4:G4"/>
    <mergeCell ref="K1:L1"/>
    <mergeCell ref="D5:O5"/>
    <mergeCell ref="C1:J1"/>
    <mergeCell ref="A5:B6"/>
    <mergeCell ref="A2:B4"/>
    <mergeCell ref="B35:O35"/>
    <mergeCell ref="M1:O1"/>
    <mergeCell ref="O3:O4"/>
    <mergeCell ref="A15:O15"/>
    <mergeCell ref="I3:N4"/>
  </mergeCells>
  <dataValidations count="1">
    <dataValidation type="list" allowBlank="1" showErrorMessage="1" promptTitle="Культура" sqref="M1:O2">
      <formula1>$Q$4:$Q$40</formula1>
    </dataValidation>
  </dataValidation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0"/>
  <sheetViews>
    <sheetView showGridLines="0" zoomScalePageLayoutView="0" workbookViewId="0" topLeftCell="A1">
      <selection activeCell="A5" sqref="A5:B6"/>
    </sheetView>
  </sheetViews>
  <sheetFormatPr defaultColWidth="9.125" defaultRowHeight="12.75" zeroHeight="1"/>
  <cols>
    <col min="1" max="1" width="6.125" style="0" customWidth="1"/>
    <col min="2" max="2" width="46.625" style="0" customWidth="1"/>
    <col min="3" max="3" width="11.25390625" style="0" customWidth="1"/>
    <col min="4" max="6" width="10.25390625" style="0" customWidth="1"/>
    <col min="8" max="10" width="10.25390625" style="0" bestFit="1" customWidth="1"/>
    <col min="16" max="18" width="0" style="0" hidden="1" customWidth="1"/>
  </cols>
  <sheetData>
    <row r="1" spans="2:15" ht="13.5" thickBot="1">
      <c r="B1" s="41" t="s">
        <v>71</v>
      </c>
      <c r="C1" s="101" t="s">
        <v>20</v>
      </c>
      <c r="D1" s="101"/>
      <c r="E1" s="101"/>
      <c r="F1" s="101"/>
      <c r="G1" s="101"/>
      <c r="H1" s="101"/>
      <c r="I1" s="101"/>
      <c r="J1" s="102"/>
      <c r="K1" s="98" t="s">
        <v>3</v>
      </c>
      <c r="L1" s="99"/>
      <c r="M1" s="106" t="s">
        <v>37</v>
      </c>
      <c r="N1" s="106"/>
      <c r="O1" s="107"/>
    </row>
    <row r="2" spans="1:19" ht="13.5" customHeight="1" thickBot="1">
      <c r="A2" s="104"/>
      <c r="B2" s="104"/>
      <c r="C2" s="41"/>
      <c r="D2" s="41"/>
      <c r="E2" s="41"/>
      <c r="F2" s="41"/>
      <c r="G2" s="41"/>
      <c r="H2" s="42"/>
      <c r="I2" s="42"/>
      <c r="J2" s="43"/>
      <c r="K2" s="47"/>
      <c r="L2" s="47"/>
      <c r="M2" s="47"/>
      <c r="N2" s="47"/>
      <c r="O2" s="47"/>
      <c r="P2" s="45"/>
      <c r="Q2" s="45"/>
      <c r="R2" s="45"/>
      <c r="S2" s="45"/>
    </row>
    <row r="3" spans="1:18" ht="12.75" customHeight="1" thickBot="1">
      <c r="A3" s="104"/>
      <c r="B3" s="104"/>
      <c r="D3" s="39" t="s">
        <v>4</v>
      </c>
      <c r="E3" s="40">
        <v>1</v>
      </c>
      <c r="H3" s="98" t="s">
        <v>5</v>
      </c>
      <c r="I3" s="117"/>
      <c r="J3" s="117"/>
      <c r="K3" s="99"/>
      <c r="L3" s="40">
        <v>60</v>
      </c>
      <c r="O3" s="121"/>
      <c r="R3">
        <f>SUM(R4:R31)</f>
        <v>17</v>
      </c>
    </row>
    <row r="4" spans="1:18" ht="27" customHeight="1" thickBot="1">
      <c r="A4" s="104"/>
      <c r="B4" s="104"/>
      <c r="I4" s="48"/>
      <c r="J4" s="48"/>
      <c r="K4" s="48"/>
      <c r="L4" s="48"/>
      <c r="M4" s="48"/>
      <c r="N4" s="48"/>
      <c r="O4" s="121"/>
      <c r="P4">
        <v>1</v>
      </c>
      <c r="Q4" t="str">
        <f>Справочник!B4</f>
        <v>Свекла кормовая</v>
      </c>
      <c r="R4">
        <f>IF(Q4=$M$1,P4,0)</f>
        <v>0</v>
      </c>
    </row>
    <row r="5" spans="1:18" ht="26.25" customHeight="1" thickBot="1">
      <c r="A5" s="103"/>
      <c r="B5" s="103"/>
      <c r="D5" s="118" t="s">
        <v>78</v>
      </c>
      <c r="E5" s="119"/>
      <c r="F5" s="119"/>
      <c r="G5" s="119"/>
      <c r="H5" s="119"/>
      <c r="I5" s="119"/>
      <c r="J5" s="119"/>
      <c r="K5" s="120"/>
      <c r="L5" s="59">
        <v>30</v>
      </c>
      <c r="M5" s="47"/>
      <c r="N5" s="47"/>
      <c r="O5" s="47"/>
      <c r="P5">
        <v>2</v>
      </c>
      <c r="Q5" t="str">
        <f>Справочник!B5</f>
        <v>Свекла сахарная</v>
      </c>
      <c r="R5">
        <f>IF(Q5=$M$1,P5,0)</f>
        <v>0</v>
      </c>
    </row>
    <row r="6" spans="1:18" ht="12.75">
      <c r="A6" s="103"/>
      <c r="B6" s="103"/>
      <c r="C6" s="50"/>
      <c r="L6" s="51"/>
      <c r="M6" s="52"/>
      <c r="N6" s="52"/>
      <c r="O6" s="52"/>
      <c r="P6">
        <v>3</v>
      </c>
      <c r="Q6" t="str">
        <f>Справочник!B6</f>
        <v>Вика</v>
      </c>
      <c r="R6">
        <f>IF(Q6=$M$1,P6,0)</f>
        <v>0</v>
      </c>
    </row>
    <row r="7" spans="1:18" ht="12.75">
      <c r="A7" s="50"/>
      <c r="B7" s="56"/>
      <c r="C7" s="53"/>
      <c r="D7" s="53" t="s">
        <v>72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>
        <v>4</v>
      </c>
      <c r="Q7" t="str">
        <f>Справочник!B7</f>
        <v>Вико-овес</v>
      </c>
      <c r="R7">
        <f>IF(Q7=$M$1,P7,0)</f>
        <v>0</v>
      </c>
    </row>
    <row r="8" spans="1:18" ht="25.5">
      <c r="A8" s="57"/>
      <c r="B8" s="13" t="s">
        <v>1</v>
      </c>
      <c r="C8" s="38" t="s">
        <v>2</v>
      </c>
      <c r="D8" s="13" t="s">
        <v>6</v>
      </c>
      <c r="E8" s="13" t="s">
        <v>7</v>
      </c>
      <c r="F8" s="13" t="s">
        <v>8</v>
      </c>
      <c r="G8" s="14" t="s">
        <v>49</v>
      </c>
      <c r="H8" s="14" t="s">
        <v>50</v>
      </c>
      <c r="I8" s="14" t="s">
        <v>51</v>
      </c>
      <c r="J8" s="14" t="s">
        <v>52</v>
      </c>
      <c r="K8" s="14" t="s">
        <v>53</v>
      </c>
      <c r="L8" s="14" t="s">
        <v>54</v>
      </c>
      <c r="M8" s="15" t="s">
        <v>55</v>
      </c>
      <c r="N8" s="15" t="s">
        <v>56</v>
      </c>
      <c r="O8" s="15" t="s">
        <v>57</v>
      </c>
      <c r="P8">
        <v>5</v>
      </c>
      <c r="Q8" t="str">
        <f>Справочник!B8</f>
        <v>Гречиха</v>
      </c>
      <c r="R8">
        <f>IF(Q8=$M$1,P8,0)</f>
        <v>0</v>
      </c>
    </row>
    <row r="9" spans="1:18" ht="25.5">
      <c r="A9" s="57"/>
      <c r="B9" s="5" t="s">
        <v>73</v>
      </c>
      <c r="C9" s="8" t="s">
        <v>10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49">
        <f>IF(OR(P8&lt;P10,P10&lt;P7),"","!!!")</f>
      </c>
      <c r="Q9" s="36" t="str">
        <f>IF(OR(Q8&lt;Q10,Q10&lt;Q7),"","!!!")</f>
        <v>!!!</v>
      </c>
      <c r="R9" s="36" t="str">
        <f>IF(OR(R8&lt;R10,R10&lt;R7),"","!!!")</f>
        <v>!!!</v>
      </c>
    </row>
    <row r="10" spans="1:18" ht="9.75" customHeight="1">
      <c r="A10" s="57"/>
      <c r="B10" s="58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>
        <v>6</v>
      </c>
      <c r="Q10" t="str">
        <f>Справочник!B9</f>
        <v>Горох</v>
      </c>
      <c r="R10">
        <f aca="true" t="shared" si="0" ref="R10:R31">IF(Q10=$M$1,P10,0)</f>
        <v>0</v>
      </c>
    </row>
    <row r="11" spans="1:18" ht="5.25" customHeight="1" hidden="1">
      <c r="A11" s="9"/>
      <c r="B11" s="9"/>
      <c r="C11" s="16"/>
      <c r="D11">
        <v>3</v>
      </c>
      <c r="E11">
        <v>4</v>
      </c>
      <c r="F11">
        <v>5</v>
      </c>
      <c r="G11">
        <v>6</v>
      </c>
      <c r="H11">
        <v>7</v>
      </c>
      <c r="I11">
        <v>8</v>
      </c>
      <c r="J11">
        <v>9</v>
      </c>
      <c r="K11">
        <v>10</v>
      </c>
      <c r="L11">
        <v>11</v>
      </c>
      <c r="M11">
        <v>12</v>
      </c>
      <c r="N11">
        <v>13</v>
      </c>
      <c r="O11">
        <v>14</v>
      </c>
      <c r="P11">
        <v>7</v>
      </c>
      <c r="Q11" t="str">
        <f>Справочник!B10</f>
        <v>Горох (зел.маса)</v>
      </c>
      <c r="R11">
        <f t="shared" si="0"/>
        <v>0</v>
      </c>
    </row>
    <row r="12" spans="1:18" ht="25.5" customHeight="1">
      <c r="A12" s="110" t="s">
        <v>74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>
        <v>8</v>
      </c>
      <c r="Q12" t="str">
        <f>Справочник!B11</f>
        <v>Рожь</v>
      </c>
      <c r="R12">
        <f t="shared" si="0"/>
        <v>0</v>
      </c>
    </row>
    <row r="13" spans="1:18" ht="32.25" customHeight="1">
      <c r="A13" s="13" t="s">
        <v>0</v>
      </c>
      <c r="B13" s="13" t="s">
        <v>1</v>
      </c>
      <c r="C13" s="38" t="s">
        <v>2</v>
      </c>
      <c r="D13" s="13" t="s">
        <v>6</v>
      </c>
      <c r="E13" s="13" t="s">
        <v>7</v>
      </c>
      <c r="F13" s="13" t="s">
        <v>8</v>
      </c>
      <c r="G13" s="14" t="s">
        <v>49</v>
      </c>
      <c r="H13" s="14" t="s">
        <v>50</v>
      </c>
      <c r="I13" s="14" t="s">
        <v>51</v>
      </c>
      <c r="J13" s="14" t="s">
        <v>52</v>
      </c>
      <c r="K13" s="14" t="s">
        <v>53</v>
      </c>
      <c r="L13" s="14" t="s">
        <v>54</v>
      </c>
      <c r="M13" s="15" t="s">
        <v>55</v>
      </c>
      <c r="N13" s="15" t="s">
        <v>56</v>
      </c>
      <c r="O13" s="15" t="s">
        <v>57</v>
      </c>
      <c r="P13">
        <v>9</v>
      </c>
      <c r="Q13" t="str">
        <f>Справочник!B12</f>
        <v>Рожь (зел.маса)</v>
      </c>
      <c r="R13">
        <f t="shared" si="0"/>
        <v>0</v>
      </c>
    </row>
    <row r="14" spans="1:15" ht="32.25" customHeight="1">
      <c r="A14" s="60">
        <v>1</v>
      </c>
      <c r="B14" s="61" t="s">
        <v>76</v>
      </c>
      <c r="C14" s="62" t="s">
        <v>75</v>
      </c>
      <c r="D14" s="63">
        <f aca="true" t="shared" si="1" ref="D14:O14">D9*D19/D15*10</f>
        <v>0</v>
      </c>
      <c r="E14" s="63">
        <f t="shared" si="1"/>
        <v>0</v>
      </c>
      <c r="F14" s="63">
        <f t="shared" si="1"/>
        <v>0</v>
      </c>
      <c r="G14" s="63">
        <f t="shared" si="1"/>
        <v>0</v>
      </c>
      <c r="H14" s="63">
        <f t="shared" si="1"/>
        <v>0</v>
      </c>
      <c r="I14" s="63">
        <f t="shared" si="1"/>
        <v>0</v>
      </c>
      <c r="J14" s="63">
        <f t="shared" si="1"/>
        <v>0</v>
      </c>
      <c r="K14" s="63">
        <f t="shared" si="1"/>
        <v>0</v>
      </c>
      <c r="L14" s="63">
        <f t="shared" si="1"/>
        <v>0</v>
      </c>
      <c r="M14" s="63">
        <f t="shared" si="1"/>
        <v>0</v>
      </c>
      <c r="N14" s="63">
        <f t="shared" si="1"/>
        <v>0</v>
      </c>
      <c r="O14" s="63">
        <f t="shared" si="1"/>
        <v>0</v>
      </c>
    </row>
    <row r="15" spans="1:18" ht="25.5" customHeight="1">
      <c r="A15" s="4">
        <v>2</v>
      </c>
      <c r="B15" s="5" t="s">
        <v>9</v>
      </c>
      <c r="C15" s="8" t="s">
        <v>10</v>
      </c>
      <c r="D15" s="6">
        <f>VLOOKUP($R$3,Справочник!$A$4:$N$32,D$11)</f>
        <v>32</v>
      </c>
      <c r="E15" s="6">
        <f>VLOOKUP($R$3,Справочник!$A$4:$N$32,E$11)</f>
        <v>10.4</v>
      </c>
      <c r="F15" s="6">
        <f>VLOOKUP($R$3,Справочник!$A$4:$N$32,F$11)</f>
        <v>17.2</v>
      </c>
      <c r="G15" s="6">
        <f>VLOOKUP($R$3,Справочник!$A$4:$N$32,G$11)</f>
        <v>0.8</v>
      </c>
      <c r="H15" s="6">
        <f>VLOOKUP($R$3,Справочник!$A$4:$N$32,H$11)</f>
        <v>10</v>
      </c>
      <c r="I15" s="6">
        <f>VLOOKUP($R$3,Справочник!$A$4:$N$32,I$11)</f>
        <v>3.6</v>
      </c>
      <c r="J15" s="6">
        <f>VLOOKUP($R$3,Справочник!$A$4:$N$32,J$11)</f>
        <v>0.06</v>
      </c>
      <c r="K15" s="6">
        <f>VLOOKUP($R$3,Справочник!$A$4:$N$32,K$11)</f>
        <v>0.012</v>
      </c>
      <c r="L15" s="6">
        <f>VLOOKUP($R$3,Справочник!$A$4:$N$32,L$11)</f>
        <v>0.15</v>
      </c>
      <c r="M15" s="6">
        <f>VLOOKUP($R$3,Справочник!$A$4:$N$32,M$11)</f>
        <v>0.01</v>
      </c>
      <c r="N15" s="6">
        <f>VLOOKUP($R$3,Справочник!$A$4:$N$32,N$11)</f>
        <v>0.001</v>
      </c>
      <c r="O15" s="6">
        <f>VLOOKUP($R$3,Справочник!$A$4:$N$32,O$11)</f>
        <v>0.14</v>
      </c>
      <c r="P15">
        <v>10</v>
      </c>
      <c r="Q15" t="str">
        <f>Справочник!B13</f>
        <v>Картофель</v>
      </c>
      <c r="R15">
        <f t="shared" si="0"/>
        <v>0</v>
      </c>
    </row>
    <row r="16" spans="1:18" ht="25.5">
      <c r="A16" s="67">
        <v>3</v>
      </c>
      <c r="B16" s="68" t="s">
        <v>77</v>
      </c>
      <c r="C16" s="14" t="s">
        <v>75</v>
      </c>
      <c r="D16" s="69">
        <f>$L$5-D14</f>
        <v>30</v>
      </c>
      <c r="E16" s="69">
        <f aca="true" t="shared" si="2" ref="E16:O16">$L$5-E14</f>
        <v>30</v>
      </c>
      <c r="F16" s="69">
        <f t="shared" si="2"/>
        <v>30</v>
      </c>
      <c r="G16" s="69">
        <f t="shared" si="2"/>
        <v>30</v>
      </c>
      <c r="H16" s="69">
        <f t="shared" si="2"/>
        <v>30</v>
      </c>
      <c r="I16" s="69">
        <f t="shared" si="2"/>
        <v>30</v>
      </c>
      <c r="J16" s="69">
        <f t="shared" si="2"/>
        <v>30</v>
      </c>
      <c r="K16" s="69">
        <f t="shared" si="2"/>
        <v>30</v>
      </c>
      <c r="L16" s="69">
        <f t="shared" si="2"/>
        <v>30</v>
      </c>
      <c r="M16" s="69">
        <f t="shared" si="2"/>
        <v>30</v>
      </c>
      <c r="N16" s="69">
        <f t="shared" si="2"/>
        <v>30</v>
      </c>
      <c r="O16" s="69">
        <f t="shared" si="2"/>
        <v>30</v>
      </c>
      <c r="P16">
        <v>11</v>
      </c>
      <c r="Q16" t="str">
        <f>Справочник!B14</f>
        <v>Рапс озимый</v>
      </c>
      <c r="R16">
        <f t="shared" si="0"/>
        <v>0</v>
      </c>
    </row>
    <row r="17" spans="1:18" ht="12.75">
      <c r="A17" s="4">
        <v>4</v>
      </c>
      <c r="B17" s="5" t="s">
        <v>80</v>
      </c>
      <c r="C17" s="64">
        <f>MIN(D16:O16)</f>
        <v>30</v>
      </c>
      <c r="D17" s="65" t="str">
        <f>IF($C$17=D16,"!!!!","")</f>
        <v>!!!!</v>
      </c>
      <c r="E17" s="65" t="str">
        <f aca="true" t="shared" si="3" ref="E17:O17">IF($C$17=E16,"!!!!","")</f>
        <v>!!!!</v>
      </c>
      <c r="F17" s="65" t="str">
        <f t="shared" si="3"/>
        <v>!!!!</v>
      </c>
      <c r="G17" s="65" t="str">
        <f t="shared" si="3"/>
        <v>!!!!</v>
      </c>
      <c r="H17" s="65" t="str">
        <f t="shared" si="3"/>
        <v>!!!!</v>
      </c>
      <c r="I17" s="65" t="str">
        <f t="shared" si="3"/>
        <v>!!!!</v>
      </c>
      <c r="J17" s="65" t="str">
        <f t="shared" si="3"/>
        <v>!!!!</v>
      </c>
      <c r="K17" s="65" t="str">
        <f t="shared" si="3"/>
        <v>!!!!</v>
      </c>
      <c r="L17" s="65" t="str">
        <f t="shared" si="3"/>
        <v>!!!!</v>
      </c>
      <c r="M17" s="65" t="str">
        <f t="shared" si="3"/>
        <v>!!!!</v>
      </c>
      <c r="N17" s="65" t="str">
        <f t="shared" si="3"/>
        <v>!!!!</v>
      </c>
      <c r="O17" s="65" t="str">
        <f t="shared" si="3"/>
        <v>!!!!</v>
      </c>
      <c r="P17">
        <v>12</v>
      </c>
      <c r="Q17" t="str">
        <f>Справочник!B15</f>
        <v>Кукурудза</v>
      </c>
      <c r="R17">
        <f t="shared" si="0"/>
        <v>0</v>
      </c>
    </row>
    <row r="18" spans="1:18" ht="32.25" customHeight="1">
      <c r="A18" s="4">
        <v>5</v>
      </c>
      <c r="B18" s="22" t="s">
        <v>79</v>
      </c>
      <c r="C18" s="23" t="s">
        <v>12</v>
      </c>
      <c r="D18" s="24">
        <f>($L$3-$C$17)*D15/10</f>
        <v>96</v>
      </c>
      <c r="E18" s="24">
        <f aca="true" t="shared" si="4" ref="E18:O18">($L$3-$C$17)*E15/10</f>
        <v>31.2</v>
      </c>
      <c r="F18" s="24">
        <f t="shared" si="4"/>
        <v>51.6</v>
      </c>
      <c r="G18" s="24">
        <f t="shared" si="4"/>
        <v>2.4</v>
      </c>
      <c r="H18" s="24">
        <f t="shared" si="4"/>
        <v>30</v>
      </c>
      <c r="I18" s="24">
        <f t="shared" si="4"/>
        <v>10.8</v>
      </c>
      <c r="J18" s="24">
        <f t="shared" si="4"/>
        <v>0.18</v>
      </c>
      <c r="K18" s="24">
        <f t="shared" si="4"/>
        <v>0.036</v>
      </c>
      <c r="L18" s="24">
        <f t="shared" si="4"/>
        <v>0.45</v>
      </c>
      <c r="M18" s="24">
        <f t="shared" si="4"/>
        <v>0.03</v>
      </c>
      <c r="N18" s="24">
        <f t="shared" si="4"/>
        <v>0.003</v>
      </c>
      <c r="O18" s="24">
        <f t="shared" si="4"/>
        <v>0.42000000000000004</v>
      </c>
      <c r="P18">
        <v>13</v>
      </c>
      <c r="Q18" t="str">
        <f>Справочник!B16</f>
        <v>Кукурудза (зел.маса)</v>
      </c>
      <c r="R18">
        <f t="shared" si="0"/>
        <v>0</v>
      </c>
    </row>
    <row r="19" spans="1:18" ht="25.5">
      <c r="A19" s="4">
        <v>6</v>
      </c>
      <c r="B19" s="5" t="s">
        <v>18</v>
      </c>
      <c r="C19" s="8"/>
      <c r="D19" s="6">
        <f>VLOOKUP($R$3,Справочник!$A$67:$N$95,D11)</f>
        <v>0.75</v>
      </c>
      <c r="E19" s="6">
        <f>VLOOKUP($R$3,Справочник!$A$67:$N$95,E11)</f>
        <v>0.5</v>
      </c>
      <c r="F19" s="6">
        <f>VLOOKUP($R$3,Справочник!$A$67:$N$95,F11)</f>
        <v>0.85</v>
      </c>
      <c r="G19" s="6">
        <f>VLOOKUP($R$3,Справочник!$A$67:$N$95,G11)</f>
        <v>0.2</v>
      </c>
      <c r="H19" s="6">
        <f>VLOOKUP($R$3,Справочник!$A$67:$N$95,H11)</f>
        <v>0.2</v>
      </c>
      <c r="I19" s="6">
        <f>VLOOKUP($R$3,Справочник!$A$67:$N$95,I11)</f>
        <v>0.2</v>
      </c>
      <c r="J19" s="6">
        <f>VLOOKUP($R$3,Справочник!$A$67:$N$95,J11)</f>
        <v>0.2</v>
      </c>
      <c r="K19" s="6">
        <f>VLOOKUP($R$3,Справочник!$A$67:$N$95,K11)</f>
        <v>0.2</v>
      </c>
      <c r="L19" s="6">
        <f>VLOOKUP($R$3,Справочник!$A$67:$N$95,L11)</f>
        <v>0.2</v>
      </c>
      <c r="M19" s="6">
        <f>VLOOKUP($R$3,Справочник!$A$67:$N$95,M11)</f>
        <v>0.2</v>
      </c>
      <c r="N19" s="6">
        <f>VLOOKUP($R$3,Справочник!$A$67:$N$95,N11)</f>
        <v>0.2</v>
      </c>
      <c r="O19" s="6">
        <f>VLOOKUP($R$3,Справочник!$A$67:$N$95,O11)</f>
        <v>0.2</v>
      </c>
      <c r="P19">
        <v>17</v>
      </c>
      <c r="Q19" t="str">
        <f>Справочник!B20</f>
        <v>Пшеница озимая</v>
      </c>
      <c r="R19">
        <f t="shared" si="0"/>
        <v>17</v>
      </c>
    </row>
    <row r="20" spans="1:18" ht="38.25">
      <c r="A20" s="30">
        <v>7</v>
      </c>
      <c r="B20" s="31" t="s">
        <v>81</v>
      </c>
      <c r="C20" s="28" t="s">
        <v>12</v>
      </c>
      <c r="D20" s="29">
        <f>D18/D19</f>
        <v>128</v>
      </c>
      <c r="E20" s="29">
        <f aca="true" t="shared" si="5" ref="E20:O20">E18/E19</f>
        <v>62.4</v>
      </c>
      <c r="F20" s="29">
        <f t="shared" si="5"/>
        <v>60.70588235294118</v>
      </c>
      <c r="G20" s="29">
        <f t="shared" si="5"/>
        <v>11.999999999999998</v>
      </c>
      <c r="H20" s="29">
        <f t="shared" si="5"/>
        <v>150</v>
      </c>
      <c r="I20" s="29">
        <f t="shared" si="5"/>
        <v>54</v>
      </c>
      <c r="J20" s="29">
        <f t="shared" si="5"/>
        <v>0.8999999999999999</v>
      </c>
      <c r="K20" s="29">
        <f t="shared" si="5"/>
        <v>0.17999999999999997</v>
      </c>
      <c r="L20" s="29">
        <f t="shared" si="5"/>
        <v>2.25</v>
      </c>
      <c r="M20" s="29">
        <f t="shared" si="5"/>
        <v>0.15</v>
      </c>
      <c r="N20" s="29">
        <f t="shared" si="5"/>
        <v>0.015</v>
      </c>
      <c r="O20" s="29">
        <f t="shared" si="5"/>
        <v>2.1</v>
      </c>
      <c r="P20">
        <v>18</v>
      </c>
      <c r="Q20" t="str">
        <f>Справочник!B21</f>
        <v>Пшеница яровая</v>
      </c>
      <c r="R20">
        <f t="shared" si="0"/>
        <v>0</v>
      </c>
    </row>
    <row r="21" spans="2:18" ht="12.75">
      <c r="B21" s="2"/>
      <c r="C21" s="1"/>
      <c r="D21" s="3"/>
      <c r="E21" s="3"/>
      <c r="F21" s="3"/>
      <c r="G21" s="3"/>
      <c r="H21" s="3"/>
      <c r="P21">
        <v>19</v>
      </c>
      <c r="Q21" t="str">
        <f>Справочник!B22</f>
        <v>Рис</v>
      </c>
      <c r="R21">
        <f t="shared" si="0"/>
        <v>0</v>
      </c>
    </row>
    <row r="22" spans="16:18" ht="12.75">
      <c r="P22">
        <v>20</v>
      </c>
      <c r="Q22" t="str">
        <f>Справочник!B23</f>
        <v>Подсолнух</v>
      </c>
      <c r="R22">
        <f t="shared" si="0"/>
        <v>0</v>
      </c>
    </row>
    <row r="23" spans="2:18" ht="12.75">
      <c r="B23" s="2"/>
      <c r="C23" s="1"/>
      <c r="D23" s="3"/>
      <c r="E23" s="3"/>
      <c r="F23" s="3"/>
      <c r="G23" s="3"/>
      <c r="H23" s="3"/>
      <c r="P23">
        <v>21</v>
      </c>
      <c r="Q23" t="str">
        <f>Справочник!B24</f>
        <v>Соя</v>
      </c>
      <c r="R23">
        <f t="shared" si="0"/>
        <v>0</v>
      </c>
    </row>
    <row r="24" spans="2:18" ht="12.75">
      <c r="B24" s="32"/>
      <c r="C24" s="1"/>
      <c r="D24" s="3"/>
      <c r="E24" s="3"/>
      <c r="F24" s="3"/>
      <c r="G24" s="3"/>
      <c r="H24" s="3"/>
      <c r="P24">
        <v>22</v>
      </c>
      <c r="Q24" t="str">
        <f>Справочник!B25</f>
        <v>Сенокосы природные</v>
      </c>
      <c r="R24">
        <f t="shared" si="0"/>
        <v>0</v>
      </c>
    </row>
    <row r="25" spans="2:18" ht="15" customHeight="1"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>
        <v>23</v>
      </c>
      <c r="Q25" t="str">
        <f>Справочник!B26</f>
        <v>Травы многолетние</v>
      </c>
      <c r="R25">
        <f t="shared" si="0"/>
        <v>0</v>
      </c>
    </row>
    <row r="26" spans="2:18" ht="14.25" customHeight="1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>
        <v>24</v>
      </c>
      <c r="Q26" t="str">
        <f>Справочник!B27</f>
        <v>Ячмень яровой</v>
      </c>
      <c r="R26">
        <f t="shared" si="0"/>
        <v>0</v>
      </c>
    </row>
    <row r="27" spans="2:18" ht="12.75">
      <c r="B27" s="2"/>
      <c r="C27" s="1"/>
      <c r="D27" s="3"/>
      <c r="E27" s="3"/>
      <c r="F27" s="3"/>
      <c r="G27" s="3"/>
      <c r="H27" s="3"/>
      <c r="P27">
        <v>25</v>
      </c>
      <c r="Q27">
        <f>Справочник!B28</f>
        <v>0</v>
      </c>
      <c r="R27">
        <f t="shared" si="0"/>
        <v>0</v>
      </c>
    </row>
    <row r="28" spans="2:18" ht="12.75">
      <c r="B28" s="2"/>
      <c r="C28" s="1"/>
      <c r="D28" s="3"/>
      <c r="E28" s="3"/>
      <c r="F28" s="3"/>
      <c r="G28" s="3"/>
      <c r="H28" s="3"/>
      <c r="P28">
        <v>26</v>
      </c>
      <c r="Q28">
        <f>Справочник!B29</f>
        <v>0</v>
      </c>
      <c r="R28">
        <f t="shared" si="0"/>
        <v>0</v>
      </c>
    </row>
    <row r="29" spans="2:18" ht="12.75">
      <c r="B29" s="2"/>
      <c r="C29" s="1"/>
      <c r="D29" s="3"/>
      <c r="E29" s="3"/>
      <c r="F29" s="3"/>
      <c r="G29" s="3"/>
      <c r="H29" s="3"/>
      <c r="P29">
        <v>27</v>
      </c>
      <c r="Q29">
        <f>Справочник!B30</f>
        <v>0</v>
      </c>
      <c r="R29">
        <f t="shared" si="0"/>
        <v>0</v>
      </c>
    </row>
    <row r="30" spans="2:18" ht="12.75">
      <c r="B30" s="2"/>
      <c r="C30" s="1"/>
      <c r="D30" s="3"/>
      <c r="E30" s="3"/>
      <c r="F30" s="3"/>
      <c r="G30" s="3"/>
      <c r="H30" s="3"/>
      <c r="P30">
        <v>28</v>
      </c>
      <c r="Q30">
        <f>Справочник!B31</f>
        <v>0</v>
      </c>
      <c r="R30">
        <f t="shared" si="0"/>
        <v>0</v>
      </c>
    </row>
    <row r="31" spans="2:18" ht="12.75">
      <c r="B31" s="2"/>
      <c r="C31" s="1"/>
      <c r="D31" s="3"/>
      <c r="E31" s="3"/>
      <c r="F31" s="3"/>
      <c r="G31" s="3"/>
      <c r="H31" s="3"/>
      <c r="P31">
        <v>29</v>
      </c>
      <c r="Q31">
        <f>Справочник!B32</f>
        <v>0</v>
      </c>
      <c r="R31">
        <f t="shared" si="0"/>
        <v>0</v>
      </c>
    </row>
    <row r="32" spans="2:8" ht="12.75">
      <c r="B32" s="2"/>
      <c r="C32" s="1"/>
      <c r="D32" s="3"/>
      <c r="E32" s="3"/>
      <c r="F32" s="3"/>
      <c r="G32" s="3"/>
      <c r="H32" s="3"/>
    </row>
    <row r="33" spans="2:8" ht="12.75">
      <c r="B33" s="2"/>
      <c r="C33" s="1"/>
      <c r="D33" s="3"/>
      <c r="E33" s="3"/>
      <c r="F33" s="3"/>
      <c r="G33" s="3"/>
      <c r="H33" s="3"/>
    </row>
    <row r="34" spans="2:8" ht="12.75">
      <c r="B34" s="2"/>
      <c r="C34" s="1"/>
      <c r="D34" s="3"/>
      <c r="E34" s="3"/>
      <c r="F34" s="3"/>
      <c r="G34" s="3"/>
      <c r="H34" s="3"/>
    </row>
    <row r="35" spans="2:8" ht="12.75">
      <c r="B35" s="2"/>
      <c r="C35" s="1"/>
      <c r="D35" s="3"/>
      <c r="E35" s="3"/>
      <c r="F35" s="3"/>
      <c r="G35" s="3"/>
      <c r="H35" s="3"/>
    </row>
    <row r="36" spans="2:8" ht="12.75">
      <c r="B36" s="2"/>
      <c r="C36" s="1"/>
      <c r="D36" s="3"/>
      <c r="E36" s="3"/>
      <c r="F36" s="3"/>
      <c r="G36" s="3"/>
      <c r="H36" s="3"/>
    </row>
    <row r="37" spans="2:8" ht="12.75">
      <c r="B37" s="2"/>
      <c r="C37" s="1"/>
      <c r="D37" s="3"/>
      <c r="E37" s="3"/>
      <c r="F37" s="3"/>
      <c r="G37" s="3"/>
      <c r="H37" s="3"/>
    </row>
    <row r="38" spans="2:8" ht="12.75">
      <c r="B38" s="2"/>
      <c r="C38" s="1"/>
      <c r="D38" s="3"/>
      <c r="E38" s="3"/>
      <c r="F38" s="3"/>
      <c r="G38" s="3"/>
      <c r="H38" s="3"/>
    </row>
    <row r="39" spans="2:8" ht="12.75">
      <c r="B39" s="2"/>
      <c r="C39" s="1"/>
      <c r="D39" s="3"/>
      <c r="E39" s="3"/>
      <c r="F39" s="3"/>
      <c r="G39" s="3"/>
      <c r="H39" s="3"/>
    </row>
    <row r="40" spans="2:8" ht="12.75">
      <c r="B40" s="2"/>
      <c r="C40" s="1"/>
      <c r="D40" s="3"/>
      <c r="E40" s="3"/>
      <c r="F40" s="3"/>
      <c r="G40" s="3"/>
      <c r="H40" s="3"/>
    </row>
    <row r="41" spans="2:8" ht="12.75">
      <c r="B41" s="2"/>
      <c r="C41" s="1"/>
      <c r="D41" s="3"/>
      <c r="E41" s="3"/>
      <c r="F41" s="3"/>
      <c r="G41" s="3"/>
      <c r="H41" s="3"/>
    </row>
    <row r="42" spans="2:8" ht="12.75">
      <c r="B42" s="2"/>
      <c r="C42" s="1"/>
      <c r="D42" s="3"/>
      <c r="E42" s="3"/>
      <c r="F42" s="3"/>
      <c r="G42" s="3"/>
      <c r="H42" s="3"/>
    </row>
    <row r="43" spans="2:8" ht="12.75">
      <c r="B43" s="2"/>
      <c r="C43" s="1"/>
      <c r="D43" s="3"/>
      <c r="E43" s="3"/>
      <c r="F43" s="3"/>
      <c r="G43" s="3"/>
      <c r="H43" s="3"/>
    </row>
    <row r="44" spans="2:8" ht="12.75">
      <c r="B44" s="2"/>
      <c r="C44" s="1"/>
      <c r="D44" s="3"/>
      <c r="E44" s="3"/>
      <c r="F44" s="3"/>
      <c r="G44" s="3"/>
      <c r="H44" s="3"/>
    </row>
    <row r="45" spans="2:8" ht="12.75">
      <c r="B45" s="2"/>
      <c r="C45" s="1"/>
      <c r="D45" s="3"/>
      <c r="E45" s="3"/>
      <c r="F45" s="3"/>
      <c r="G45" s="3"/>
      <c r="H45" s="3"/>
    </row>
    <row r="46" spans="2:8" ht="12.75">
      <c r="B46" s="2"/>
      <c r="C46" s="1"/>
      <c r="D46" s="3"/>
      <c r="E46" s="3"/>
      <c r="F46" s="3"/>
      <c r="G46" s="3"/>
      <c r="H46" s="3"/>
    </row>
    <row r="47" spans="2:8" ht="12.75">
      <c r="B47" s="2"/>
      <c r="C47" s="1"/>
      <c r="D47" s="3"/>
      <c r="E47" s="3"/>
      <c r="F47" s="3"/>
      <c r="G47" s="3"/>
      <c r="H47" s="3"/>
    </row>
    <row r="48" spans="2:8" ht="12.75">
      <c r="B48" s="2"/>
      <c r="C48" s="1"/>
      <c r="D48" s="3"/>
      <c r="E48" s="3"/>
      <c r="F48" s="3"/>
      <c r="G48" s="3"/>
      <c r="H48" s="3"/>
    </row>
    <row r="49" spans="2:8" ht="12.75">
      <c r="B49" s="2"/>
      <c r="C49" s="1"/>
      <c r="D49" s="3"/>
      <c r="E49" s="3"/>
      <c r="F49" s="3"/>
      <c r="G49" s="3"/>
      <c r="H49" s="3"/>
    </row>
    <row r="50" spans="2:8" ht="12.75">
      <c r="B50" s="2"/>
      <c r="C50" s="1"/>
      <c r="D50" s="3"/>
      <c r="E50" s="3"/>
      <c r="F50" s="3"/>
      <c r="G50" s="3"/>
      <c r="H50" s="3"/>
    </row>
    <row r="51" spans="2:8" ht="12.75">
      <c r="B51" s="2"/>
      <c r="C51" s="1"/>
      <c r="D51" s="3"/>
      <c r="E51" s="3"/>
      <c r="F51" s="3"/>
      <c r="G51" s="3"/>
      <c r="H51" s="3"/>
    </row>
    <row r="52" spans="2:8" ht="12.75">
      <c r="B52" s="2"/>
      <c r="C52" s="1"/>
      <c r="D52" s="3"/>
      <c r="E52" s="3"/>
      <c r="F52" s="3"/>
      <c r="G52" s="3"/>
      <c r="H52" s="3"/>
    </row>
    <row r="53" spans="2:8" ht="12.75">
      <c r="B53" s="2"/>
      <c r="C53" s="1"/>
      <c r="D53" s="3"/>
      <c r="E53" s="3"/>
      <c r="F53" s="3"/>
      <c r="G53" s="3"/>
      <c r="H53" s="3"/>
    </row>
    <row r="54" spans="2:8" ht="12.75">
      <c r="B54" s="2"/>
      <c r="C54" s="1"/>
      <c r="D54" s="3"/>
      <c r="E54" s="3"/>
      <c r="F54" s="3"/>
      <c r="G54" s="3"/>
      <c r="H54" s="3"/>
    </row>
    <row r="55" spans="2:8" ht="12.75">
      <c r="B55" s="2"/>
      <c r="C55" s="1"/>
      <c r="D55" s="3"/>
      <c r="E55" s="3"/>
      <c r="F55" s="3"/>
      <c r="G55" s="3"/>
      <c r="H55" s="3"/>
    </row>
    <row r="56" spans="2:8" ht="12.75">
      <c r="B56" s="2"/>
      <c r="C56" s="1"/>
      <c r="D56" s="3"/>
      <c r="E56" s="3"/>
      <c r="F56" s="3"/>
      <c r="G56" s="3"/>
      <c r="H56" s="3"/>
    </row>
    <row r="57" spans="2:8" ht="12.75">
      <c r="B57" s="2"/>
      <c r="C57" s="1"/>
      <c r="D57" s="3"/>
      <c r="E57" s="3"/>
      <c r="F57" s="3"/>
      <c r="G57" s="3"/>
      <c r="H57" s="3"/>
    </row>
    <row r="58" spans="2:8" ht="12.75">
      <c r="B58" s="2"/>
      <c r="C58" s="1"/>
      <c r="D58" s="3"/>
      <c r="E58" s="3"/>
      <c r="F58" s="3"/>
      <c r="G58" s="3"/>
      <c r="H58" s="3"/>
    </row>
    <row r="59" spans="2:8" ht="12.75">
      <c r="B59" s="2"/>
      <c r="C59" s="1"/>
      <c r="D59" s="3"/>
      <c r="E59" s="3"/>
      <c r="F59" s="3"/>
      <c r="G59" s="3"/>
      <c r="H59" s="3"/>
    </row>
    <row r="60" spans="2:8" ht="12.75">
      <c r="B60" s="2"/>
      <c r="C60" s="1"/>
      <c r="D60" s="3"/>
      <c r="E60" s="3"/>
      <c r="F60" s="3"/>
      <c r="G60" s="3"/>
      <c r="H60" s="3"/>
    </row>
    <row r="61" spans="2:8" ht="12.75">
      <c r="B61" s="2"/>
      <c r="C61" s="1"/>
      <c r="D61" s="3"/>
      <c r="E61" s="3"/>
      <c r="F61" s="3"/>
      <c r="G61" s="3"/>
      <c r="H61" s="3"/>
    </row>
    <row r="62" spans="2:8" ht="12.75">
      <c r="B62" s="2"/>
      <c r="C62" s="1"/>
      <c r="D62" s="3"/>
      <c r="E62" s="3"/>
      <c r="F62" s="3"/>
      <c r="G62" s="3"/>
      <c r="H62" s="3"/>
    </row>
    <row r="63" spans="2:8" ht="12.75">
      <c r="B63" s="2"/>
      <c r="C63" s="1"/>
      <c r="D63" s="3"/>
      <c r="E63" s="3"/>
      <c r="F63" s="3"/>
      <c r="G63" s="3"/>
      <c r="H63" s="3"/>
    </row>
    <row r="64" spans="2:8" ht="12.75">
      <c r="B64" s="2"/>
      <c r="C64" s="1"/>
      <c r="D64" s="3"/>
      <c r="E64" s="3"/>
      <c r="F64" s="3"/>
      <c r="G64" s="3"/>
      <c r="H64" s="3"/>
    </row>
    <row r="65" spans="2:8" ht="12.75">
      <c r="B65" s="2"/>
      <c r="C65" s="1"/>
      <c r="D65" s="3"/>
      <c r="E65" s="3"/>
      <c r="F65" s="3"/>
      <c r="G65" s="3"/>
      <c r="H65" s="3"/>
    </row>
    <row r="66" spans="2:8" ht="12.75">
      <c r="B66" s="2"/>
      <c r="C66" s="1"/>
      <c r="D66" s="3"/>
      <c r="E66" s="3"/>
      <c r="F66" s="3"/>
      <c r="G66" s="3"/>
      <c r="H66" s="3"/>
    </row>
    <row r="67" spans="2:8" ht="12.75">
      <c r="B67" s="2"/>
      <c r="C67" s="1"/>
      <c r="D67" s="3"/>
      <c r="E67" s="3"/>
      <c r="F67" s="3"/>
      <c r="G67" s="3"/>
      <c r="H67" s="3"/>
    </row>
    <row r="68" spans="2:3" ht="12.75">
      <c r="B68" s="2"/>
      <c r="C68" s="1"/>
    </row>
    <row r="69" spans="2:3" ht="12.75">
      <c r="B69" s="2"/>
      <c r="C69" s="1"/>
    </row>
    <row r="70" spans="2:3" ht="12.75">
      <c r="B70" s="2"/>
      <c r="C70" s="1"/>
    </row>
    <row r="71" spans="2:3" ht="12.75">
      <c r="B71" s="2"/>
      <c r="C71" s="1"/>
    </row>
    <row r="72" spans="2:3" ht="12.75">
      <c r="B72" s="2"/>
      <c r="C72" s="1"/>
    </row>
    <row r="73" spans="2:3" ht="12.75">
      <c r="B73" s="2"/>
      <c r="C73" s="1"/>
    </row>
    <row r="74" spans="2:3" ht="12.75">
      <c r="B74" s="2"/>
      <c r="C74" s="1"/>
    </row>
    <row r="75" spans="2:3" ht="12.75">
      <c r="B75" s="2"/>
      <c r="C75" s="1"/>
    </row>
    <row r="76" spans="2:3" ht="12.75">
      <c r="B76" s="2"/>
      <c r="C76" s="1"/>
    </row>
    <row r="77" spans="2:3" ht="12.75">
      <c r="B77" s="2"/>
      <c r="C77" s="1"/>
    </row>
    <row r="78" spans="2:3" ht="12.75">
      <c r="B78" s="2"/>
      <c r="C78" s="1"/>
    </row>
    <row r="79" spans="2:3" ht="12.75">
      <c r="B79" s="2"/>
      <c r="C79" s="1"/>
    </row>
    <row r="80" spans="2:3" ht="12.75">
      <c r="B80" s="2"/>
      <c r="C80" s="1"/>
    </row>
    <row r="81" spans="2:3" ht="12.75">
      <c r="B81" s="2"/>
      <c r="C81" s="1"/>
    </row>
    <row r="82" spans="2:3" ht="12.75">
      <c r="B82" s="2"/>
      <c r="C82" s="1"/>
    </row>
    <row r="83" spans="2:3" ht="12.75">
      <c r="B83" s="2"/>
      <c r="C83" s="1"/>
    </row>
    <row r="84" spans="2:3" ht="12.75">
      <c r="B84" s="2"/>
      <c r="C84" s="1"/>
    </row>
    <row r="85" spans="2:3" ht="12.75">
      <c r="B85" s="2"/>
      <c r="C85" s="1"/>
    </row>
    <row r="86" spans="2:3" ht="12.75">
      <c r="B86" s="2"/>
      <c r="C86" s="1"/>
    </row>
    <row r="87" spans="2:3" ht="12.75">
      <c r="B87" s="2"/>
      <c r="C87" s="1"/>
    </row>
    <row r="88" spans="2:3" ht="12.75">
      <c r="B88" s="2"/>
      <c r="C88" s="1"/>
    </row>
    <row r="89" spans="2:3" ht="12.75">
      <c r="B89" s="2"/>
      <c r="C89" s="1"/>
    </row>
    <row r="90" spans="2:3" ht="12.75">
      <c r="B90" s="2"/>
      <c r="C90" s="1"/>
    </row>
    <row r="91" spans="2:3" ht="12.75">
      <c r="B91" s="2"/>
      <c r="C91" s="1"/>
    </row>
    <row r="92" spans="2:3" ht="12.75">
      <c r="B92" s="2"/>
      <c r="C92" s="1"/>
    </row>
    <row r="93" spans="2:3" ht="12.75">
      <c r="B93" s="2"/>
      <c r="C93" s="1"/>
    </row>
    <row r="94" spans="2:3" ht="12.75">
      <c r="B94" s="2"/>
      <c r="C94" s="1"/>
    </row>
    <row r="95" spans="2:3" ht="12.75">
      <c r="B95" s="2"/>
      <c r="C95" s="1"/>
    </row>
    <row r="96" spans="2:3" ht="12.75">
      <c r="B96" s="2"/>
      <c r="C96" s="1"/>
    </row>
    <row r="97" spans="2:3" ht="12.75">
      <c r="B97" s="2"/>
      <c r="C97" s="1"/>
    </row>
    <row r="98" spans="2:3" ht="12.75">
      <c r="B98" s="2"/>
      <c r="C98" s="1"/>
    </row>
    <row r="99" spans="2:3" ht="12.75">
      <c r="B99" s="2"/>
      <c r="C99" s="1"/>
    </row>
    <row r="100" spans="2:3" ht="12.75">
      <c r="B100" s="2"/>
      <c r="C100" s="1"/>
    </row>
    <row r="101" spans="2:3" ht="12.75">
      <c r="B101" s="2"/>
      <c r="C101" s="1"/>
    </row>
    <row r="102" spans="2:3" ht="12.75">
      <c r="B102" s="2"/>
      <c r="C102" s="1"/>
    </row>
    <row r="103" spans="2:3" ht="12.75">
      <c r="B103" s="2"/>
      <c r="C103" s="1"/>
    </row>
    <row r="104" spans="2:3" ht="12.75">
      <c r="B104" s="2"/>
      <c r="C104" s="1"/>
    </row>
    <row r="105" spans="2:3" ht="12.75">
      <c r="B105" s="2"/>
      <c r="C105" s="1"/>
    </row>
    <row r="106" spans="2:3" ht="12.75">
      <c r="B106" s="2"/>
      <c r="C106" s="1"/>
    </row>
    <row r="107" spans="2:3" ht="12.75">
      <c r="B107" s="2"/>
      <c r="C107" s="1"/>
    </row>
    <row r="108" spans="2:3" ht="12.75">
      <c r="B108" s="2"/>
      <c r="C108" s="1"/>
    </row>
    <row r="109" spans="2:3" ht="12.75">
      <c r="B109" s="2"/>
      <c r="C109" s="1"/>
    </row>
    <row r="110" spans="2:3" ht="12.75">
      <c r="B110" s="2"/>
      <c r="C110" s="1"/>
    </row>
    <row r="111" spans="2:3" ht="12.75">
      <c r="B111" s="2"/>
      <c r="C111" s="1"/>
    </row>
    <row r="112" spans="2:3" ht="12.75">
      <c r="B112" s="2"/>
      <c r="C112" s="1"/>
    </row>
    <row r="113" spans="2:3" ht="12.75">
      <c r="B113" s="2"/>
      <c r="C113" s="1"/>
    </row>
    <row r="114" spans="2:3" ht="12.75">
      <c r="B114" s="2"/>
      <c r="C114" s="1"/>
    </row>
    <row r="115" spans="2:3" ht="12.75">
      <c r="B115" s="2"/>
      <c r="C115" s="1"/>
    </row>
    <row r="116" spans="2:3" ht="12.75">
      <c r="B116" s="2"/>
      <c r="C116" s="1"/>
    </row>
    <row r="117" spans="2:3" ht="12.75">
      <c r="B117" s="2"/>
      <c r="C117" s="1"/>
    </row>
    <row r="118" spans="2:3" ht="12.75">
      <c r="B118" s="2"/>
      <c r="C118" s="1"/>
    </row>
    <row r="119" spans="2:3" ht="12.75">
      <c r="B119" s="2"/>
      <c r="C119" s="1"/>
    </row>
    <row r="120" spans="2:3" ht="12.75">
      <c r="B120" s="2"/>
      <c r="C120" s="1"/>
    </row>
    <row r="121" spans="2:3" ht="12.75">
      <c r="B121" s="2"/>
      <c r="C121" s="1"/>
    </row>
    <row r="122" spans="2:3" ht="12.75">
      <c r="B122" s="2"/>
      <c r="C122" s="1"/>
    </row>
    <row r="123" spans="2:3" ht="12.75">
      <c r="B123" s="2"/>
      <c r="C123" s="1"/>
    </row>
    <row r="124" spans="2:3" ht="12.75">
      <c r="B124" s="2"/>
      <c r="C124" s="1"/>
    </row>
    <row r="125" spans="2:3" ht="12.75">
      <c r="B125" s="2"/>
      <c r="C125" s="1"/>
    </row>
    <row r="126" spans="2:3" ht="12.75">
      <c r="B126" s="2"/>
      <c r="C126" s="1"/>
    </row>
    <row r="127" spans="2:3" ht="12.75">
      <c r="B127" s="2"/>
      <c r="C127" s="1"/>
    </row>
    <row r="128" spans="2:3" ht="12.75">
      <c r="B128" s="2"/>
      <c r="C128" s="1"/>
    </row>
    <row r="129" spans="2:3" ht="12.75">
      <c r="B129" s="2"/>
      <c r="C129" s="1"/>
    </row>
    <row r="130" spans="2:3" ht="12.75">
      <c r="B130" s="2"/>
      <c r="C130" s="1"/>
    </row>
    <row r="131" spans="2:3" ht="12.75">
      <c r="B131" s="2"/>
      <c r="C131" s="1"/>
    </row>
    <row r="132" spans="2:3" ht="12.75">
      <c r="B132" s="2"/>
      <c r="C132" s="1"/>
    </row>
    <row r="133" spans="2:3" ht="12.75">
      <c r="B133" s="2"/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</sheetData>
  <sheetProtection/>
  <mergeCells count="11">
    <mergeCell ref="C1:J1"/>
    <mergeCell ref="K1:L1"/>
    <mergeCell ref="M1:O1"/>
    <mergeCell ref="A2:B4"/>
    <mergeCell ref="O3:O4"/>
    <mergeCell ref="H3:K3"/>
    <mergeCell ref="A5:B6"/>
    <mergeCell ref="A12:O12"/>
    <mergeCell ref="B25:O25"/>
    <mergeCell ref="B26:O26"/>
    <mergeCell ref="D5:K5"/>
  </mergeCells>
  <dataValidations count="1">
    <dataValidation type="list" allowBlank="1" showErrorMessage="1" promptTitle="Культура" sqref="M1:O1">
      <formula1>$Q$4:$Q$31</formula1>
    </dataValidation>
  </dataValidation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6"/>
  <sheetViews>
    <sheetView zoomScalePageLayoutView="0" workbookViewId="0" topLeftCell="A1">
      <selection activeCell="Q27" sqref="Q27"/>
    </sheetView>
  </sheetViews>
  <sheetFormatPr defaultColWidth="9.00390625" defaultRowHeight="12.75"/>
  <cols>
    <col min="1" max="1" width="4.125" style="10" customWidth="1"/>
    <col min="2" max="2" width="23.25390625" style="10" customWidth="1"/>
    <col min="3" max="5" width="9.125" style="10" customWidth="1"/>
    <col min="6" max="8" width="9.00390625" style="10" customWidth="1"/>
    <col min="9" max="16384" width="9.125" style="10" customWidth="1"/>
  </cols>
  <sheetData>
    <row r="1" ht="12.75">
      <c r="B1" s="10" t="s">
        <v>21</v>
      </c>
    </row>
    <row r="3" spans="1:14" ht="12.75">
      <c r="A3" s="11"/>
      <c r="B3" s="12" t="s">
        <v>3</v>
      </c>
      <c r="C3" s="12" t="s">
        <v>6</v>
      </c>
      <c r="D3" s="12" t="s">
        <v>45</v>
      </c>
      <c r="E3" s="12" t="s">
        <v>46</v>
      </c>
      <c r="F3" s="11" t="str">
        <f>'Балансово-расчетный метод'!G16</f>
        <v>S</v>
      </c>
      <c r="G3" s="11" t="str">
        <f>'Балансово-расчетный метод'!H16</f>
        <v>Ca</v>
      </c>
      <c r="H3" s="11" t="str">
        <f>'Балансово-расчетный метод'!I16</f>
        <v>Mg</v>
      </c>
      <c r="I3" s="11" t="str">
        <f>'Балансово-расчетный метод'!J16</f>
        <v>Zn</v>
      </c>
      <c r="J3" s="11" t="str">
        <f>'Балансово-расчетный метод'!K16</f>
        <v>Cu</v>
      </c>
      <c r="K3" s="11" t="str">
        <f>'Балансово-расчетный метод'!L16</f>
        <v>Fe</v>
      </c>
      <c r="L3" s="11" t="str">
        <f>'Балансово-расчетный метод'!M16</f>
        <v>B</v>
      </c>
      <c r="M3" s="11" t="str">
        <f>'Балансово-расчетный метод'!N16</f>
        <v>Mo</v>
      </c>
      <c r="N3" s="11" t="str">
        <f>'Балансово-расчетный метод'!O16</f>
        <v>Mn</v>
      </c>
    </row>
    <row r="4" spans="1:17" ht="12.75">
      <c r="A4" s="11">
        <v>1</v>
      </c>
      <c r="B4" s="11" t="s">
        <v>22</v>
      </c>
      <c r="C4" s="11">
        <v>4</v>
      </c>
      <c r="D4" s="11">
        <v>1.2</v>
      </c>
      <c r="E4" s="11">
        <v>5</v>
      </c>
      <c r="F4" s="11">
        <v>0.8</v>
      </c>
      <c r="G4" s="11">
        <v>10</v>
      </c>
      <c r="H4" s="11">
        <v>6</v>
      </c>
      <c r="I4" s="11">
        <v>0.04</v>
      </c>
      <c r="J4" s="11">
        <v>0.1</v>
      </c>
      <c r="K4" s="11">
        <v>0.14</v>
      </c>
      <c r="L4" s="11">
        <v>0.01</v>
      </c>
      <c r="M4" s="11">
        <v>0.001</v>
      </c>
      <c r="N4" s="11">
        <v>0.1</v>
      </c>
      <c r="P4" s="70"/>
      <c r="Q4" s="10" t="s">
        <v>82</v>
      </c>
    </row>
    <row r="5" spans="1:14" ht="12.75">
      <c r="A5" s="11">
        <v>2</v>
      </c>
      <c r="B5" s="11" t="s">
        <v>23</v>
      </c>
      <c r="C5" s="11">
        <v>5</v>
      </c>
      <c r="D5" s="11">
        <v>1.3</v>
      </c>
      <c r="E5" s="11">
        <v>5</v>
      </c>
      <c r="F5" s="11">
        <v>0.8</v>
      </c>
      <c r="G5" s="11">
        <v>10</v>
      </c>
      <c r="H5" s="11">
        <v>6</v>
      </c>
      <c r="I5" s="11">
        <v>0.04</v>
      </c>
      <c r="J5" s="11">
        <v>0.1</v>
      </c>
      <c r="K5" s="11">
        <v>0.14</v>
      </c>
      <c r="L5" s="11">
        <v>0.01</v>
      </c>
      <c r="M5" s="11">
        <v>0.001</v>
      </c>
      <c r="N5" s="11">
        <v>0.1</v>
      </c>
    </row>
    <row r="6" spans="1:14" ht="12.75">
      <c r="A6" s="11">
        <v>3</v>
      </c>
      <c r="B6" s="11" t="s">
        <v>24</v>
      </c>
      <c r="C6" s="11">
        <v>67</v>
      </c>
      <c r="D6" s="11">
        <v>14</v>
      </c>
      <c r="E6" s="11">
        <v>17</v>
      </c>
      <c r="F6" s="11">
        <v>0.8</v>
      </c>
      <c r="G6" s="11">
        <v>10</v>
      </c>
      <c r="H6" s="11">
        <v>6</v>
      </c>
      <c r="I6" s="11">
        <v>0.04</v>
      </c>
      <c r="J6" s="11">
        <v>0.1</v>
      </c>
      <c r="K6" s="11">
        <v>0.14</v>
      </c>
      <c r="L6" s="11">
        <v>0.01</v>
      </c>
      <c r="M6" s="11">
        <v>0.001</v>
      </c>
      <c r="N6" s="11">
        <v>0.1</v>
      </c>
    </row>
    <row r="7" spans="1:14" ht="12.75">
      <c r="A7" s="11">
        <v>4</v>
      </c>
      <c r="B7" s="11" t="s">
        <v>25</v>
      </c>
      <c r="C7" s="11">
        <v>3.5</v>
      </c>
      <c r="D7" s="11">
        <v>1.2</v>
      </c>
      <c r="E7" s="11">
        <v>4.5</v>
      </c>
      <c r="F7" s="11">
        <v>0.8</v>
      </c>
      <c r="G7" s="11">
        <v>10</v>
      </c>
      <c r="H7" s="11">
        <v>6</v>
      </c>
      <c r="I7" s="11">
        <v>0.04</v>
      </c>
      <c r="J7" s="11">
        <v>0.1</v>
      </c>
      <c r="K7" s="11">
        <v>0.14</v>
      </c>
      <c r="L7" s="11">
        <v>0.01</v>
      </c>
      <c r="M7" s="11">
        <v>0.001</v>
      </c>
      <c r="N7" s="11">
        <v>0.1</v>
      </c>
    </row>
    <row r="8" spans="1:14" ht="12.75">
      <c r="A8" s="11">
        <v>5</v>
      </c>
      <c r="B8" s="11" t="s">
        <v>26</v>
      </c>
      <c r="C8" s="11">
        <v>30</v>
      </c>
      <c r="D8" s="11">
        <v>15</v>
      </c>
      <c r="E8" s="11">
        <v>39</v>
      </c>
      <c r="F8" s="11">
        <v>0.8</v>
      </c>
      <c r="G8" s="11">
        <v>10</v>
      </c>
      <c r="H8" s="11">
        <v>6</v>
      </c>
      <c r="I8" s="11">
        <v>0.04</v>
      </c>
      <c r="J8" s="11">
        <v>0.1</v>
      </c>
      <c r="K8" s="11">
        <v>0.14</v>
      </c>
      <c r="L8" s="11">
        <v>0.01</v>
      </c>
      <c r="M8" s="11">
        <v>0.001</v>
      </c>
      <c r="N8" s="11">
        <v>0.1</v>
      </c>
    </row>
    <row r="9" spans="1:14" ht="12.75">
      <c r="A9" s="11">
        <v>6</v>
      </c>
      <c r="B9" s="11" t="s">
        <v>27</v>
      </c>
      <c r="C9" s="11">
        <v>66</v>
      </c>
      <c r="D9" s="11">
        <v>15</v>
      </c>
      <c r="E9" s="11">
        <v>20</v>
      </c>
      <c r="F9" s="11">
        <v>0.8</v>
      </c>
      <c r="G9" s="11">
        <v>10</v>
      </c>
      <c r="H9" s="11">
        <v>6</v>
      </c>
      <c r="I9" s="11">
        <v>0.04</v>
      </c>
      <c r="J9" s="11">
        <v>0.1</v>
      </c>
      <c r="K9" s="11">
        <v>0.14</v>
      </c>
      <c r="L9" s="11">
        <v>0.01</v>
      </c>
      <c r="M9" s="11">
        <v>0.001</v>
      </c>
      <c r="N9" s="11">
        <v>0.1</v>
      </c>
    </row>
    <row r="10" spans="1:14" ht="12.75">
      <c r="A10" s="11">
        <v>7</v>
      </c>
      <c r="B10" s="11" t="s">
        <v>28</v>
      </c>
      <c r="C10" s="11">
        <v>7</v>
      </c>
      <c r="D10" s="11">
        <v>1.5</v>
      </c>
      <c r="E10" s="11">
        <v>2</v>
      </c>
      <c r="F10" s="11">
        <v>0.8</v>
      </c>
      <c r="G10" s="11">
        <v>10</v>
      </c>
      <c r="H10" s="11">
        <v>6</v>
      </c>
      <c r="I10" s="11">
        <v>0.04</v>
      </c>
      <c r="J10" s="11">
        <v>0.1</v>
      </c>
      <c r="K10" s="11">
        <v>0.14</v>
      </c>
      <c r="L10" s="11">
        <v>0.01</v>
      </c>
      <c r="M10" s="11">
        <v>0.001</v>
      </c>
      <c r="N10" s="11">
        <v>0.1</v>
      </c>
    </row>
    <row r="11" spans="1:14" ht="12.75">
      <c r="A11" s="11">
        <v>8</v>
      </c>
      <c r="B11" s="11" t="s">
        <v>29</v>
      </c>
      <c r="C11" s="66">
        <v>19.5</v>
      </c>
      <c r="D11" s="66">
        <v>10.7</v>
      </c>
      <c r="E11" s="66">
        <v>24</v>
      </c>
      <c r="F11" s="11">
        <v>0.8</v>
      </c>
      <c r="G11" s="11">
        <v>10</v>
      </c>
      <c r="H11" s="66">
        <v>3.8</v>
      </c>
      <c r="I11" s="66">
        <v>0.06</v>
      </c>
      <c r="J11" s="66">
        <v>0.012</v>
      </c>
      <c r="K11" s="66">
        <v>0.15</v>
      </c>
      <c r="L11" s="66">
        <v>0.01</v>
      </c>
      <c r="M11" s="66">
        <v>0.001</v>
      </c>
      <c r="N11" s="66">
        <v>0.14</v>
      </c>
    </row>
    <row r="12" spans="1:14" ht="12.75">
      <c r="A12" s="11">
        <v>9</v>
      </c>
      <c r="B12" s="11" t="s">
        <v>30</v>
      </c>
      <c r="C12" s="11">
        <v>3</v>
      </c>
      <c r="D12" s="11">
        <v>1.2</v>
      </c>
      <c r="E12" s="11">
        <v>4.5</v>
      </c>
      <c r="F12" s="11">
        <v>0.8</v>
      </c>
      <c r="G12" s="11">
        <v>10</v>
      </c>
      <c r="H12" s="66">
        <v>3.8</v>
      </c>
      <c r="I12" s="66">
        <v>0.06</v>
      </c>
      <c r="J12" s="66">
        <v>0.012</v>
      </c>
      <c r="K12" s="66">
        <v>0.15</v>
      </c>
      <c r="L12" s="66">
        <v>0.01</v>
      </c>
      <c r="M12" s="66">
        <v>0.001</v>
      </c>
      <c r="N12" s="66">
        <v>0.14</v>
      </c>
    </row>
    <row r="13" spans="1:14" ht="12.75">
      <c r="A13" s="11">
        <v>10</v>
      </c>
      <c r="B13" s="11" t="s">
        <v>31</v>
      </c>
      <c r="C13" s="11">
        <v>5</v>
      </c>
      <c r="D13" s="11">
        <v>2.2</v>
      </c>
      <c r="E13" s="11">
        <v>8</v>
      </c>
      <c r="F13" s="11">
        <v>0.8</v>
      </c>
      <c r="G13" s="11">
        <v>10</v>
      </c>
      <c r="H13" s="11">
        <v>6</v>
      </c>
      <c r="I13" s="11">
        <v>0.04</v>
      </c>
      <c r="J13" s="11">
        <v>0.1</v>
      </c>
      <c r="K13" s="11">
        <v>0.14</v>
      </c>
      <c r="L13" s="11">
        <v>0.01</v>
      </c>
      <c r="M13" s="11">
        <v>0.001</v>
      </c>
      <c r="N13" s="11">
        <v>0.1</v>
      </c>
    </row>
    <row r="14" spans="1:14" ht="12.75">
      <c r="A14" s="11">
        <v>11</v>
      </c>
      <c r="B14" s="11" t="s">
        <v>47</v>
      </c>
      <c r="C14" s="11">
        <v>60</v>
      </c>
      <c r="D14" s="11">
        <v>40</v>
      </c>
      <c r="E14" s="11">
        <v>75</v>
      </c>
      <c r="F14" s="11">
        <v>0.8</v>
      </c>
      <c r="G14" s="11">
        <v>10</v>
      </c>
      <c r="H14" s="11">
        <v>6</v>
      </c>
      <c r="I14" s="11">
        <v>0.04</v>
      </c>
      <c r="J14" s="11">
        <v>0.1</v>
      </c>
      <c r="K14" s="11">
        <v>0.14</v>
      </c>
      <c r="L14" s="11">
        <v>0.01</v>
      </c>
      <c r="M14" s="11">
        <v>0.001</v>
      </c>
      <c r="N14" s="11">
        <v>0.1</v>
      </c>
    </row>
    <row r="15" spans="1:14" ht="12.75">
      <c r="A15" s="11">
        <v>12</v>
      </c>
      <c r="B15" s="11" t="s">
        <v>32</v>
      </c>
      <c r="C15" s="66">
        <v>25</v>
      </c>
      <c r="D15" s="66">
        <v>18</v>
      </c>
      <c r="E15" s="66">
        <v>30</v>
      </c>
      <c r="F15" s="11">
        <v>0.8</v>
      </c>
      <c r="G15" s="66">
        <v>10</v>
      </c>
      <c r="H15" s="66">
        <v>7</v>
      </c>
      <c r="I15" s="11">
        <v>0.04</v>
      </c>
      <c r="J15" s="11">
        <v>0.1</v>
      </c>
      <c r="K15" s="11">
        <v>0.14</v>
      </c>
      <c r="L15" s="11">
        <v>0.01</v>
      </c>
      <c r="M15" s="11">
        <v>0.001</v>
      </c>
      <c r="N15" s="11">
        <v>0.1</v>
      </c>
    </row>
    <row r="16" spans="1:14" ht="12.75">
      <c r="A16" s="11">
        <v>13</v>
      </c>
      <c r="B16" s="11" t="s">
        <v>33</v>
      </c>
      <c r="C16" s="11">
        <v>2.5</v>
      </c>
      <c r="D16" s="11">
        <v>1</v>
      </c>
      <c r="E16" s="11">
        <v>3.5</v>
      </c>
      <c r="F16" s="11">
        <v>0.8</v>
      </c>
      <c r="G16" s="11">
        <v>10</v>
      </c>
      <c r="H16" s="11">
        <v>6</v>
      </c>
      <c r="I16" s="11">
        <v>0.04</v>
      </c>
      <c r="J16" s="11">
        <v>0.1</v>
      </c>
      <c r="K16" s="11">
        <v>0.14</v>
      </c>
      <c r="L16" s="11">
        <v>0.01</v>
      </c>
      <c r="M16" s="11">
        <v>0.001</v>
      </c>
      <c r="N16" s="11">
        <v>0.1</v>
      </c>
    </row>
    <row r="17" spans="1:14" ht="12.75">
      <c r="A17" s="11">
        <v>14</v>
      </c>
      <c r="B17" s="11" t="s">
        <v>34</v>
      </c>
      <c r="C17" s="11">
        <v>26</v>
      </c>
      <c r="D17" s="11">
        <v>6</v>
      </c>
      <c r="E17" s="11">
        <v>15</v>
      </c>
      <c r="F17" s="11">
        <v>0.8</v>
      </c>
      <c r="G17" s="11">
        <v>10</v>
      </c>
      <c r="H17" s="11">
        <v>6</v>
      </c>
      <c r="I17" s="11">
        <v>0.04</v>
      </c>
      <c r="J17" s="11">
        <v>0.1</v>
      </c>
      <c r="K17" s="11">
        <v>0.14</v>
      </c>
      <c r="L17" s="11">
        <v>0.01</v>
      </c>
      <c r="M17" s="11">
        <v>0.001</v>
      </c>
      <c r="N17" s="11">
        <v>0.1</v>
      </c>
    </row>
    <row r="18" spans="1:17" ht="12.75">
      <c r="A18" s="11">
        <v>15</v>
      </c>
      <c r="B18" s="11" t="s">
        <v>35</v>
      </c>
      <c r="C18" s="11">
        <v>32</v>
      </c>
      <c r="D18" s="11">
        <v>14</v>
      </c>
      <c r="E18" s="11">
        <v>28</v>
      </c>
      <c r="F18" s="11">
        <v>0.8</v>
      </c>
      <c r="G18" s="11">
        <v>10</v>
      </c>
      <c r="H18" s="11">
        <v>6</v>
      </c>
      <c r="I18" s="11">
        <v>0.04</v>
      </c>
      <c r="J18" s="11">
        <v>0.1</v>
      </c>
      <c r="K18" s="11">
        <v>0.14</v>
      </c>
      <c r="L18" s="11">
        <v>0.01</v>
      </c>
      <c r="M18" s="11">
        <v>0.001</v>
      </c>
      <c r="N18" s="11">
        <v>0.1</v>
      </c>
      <c r="Q18" s="18"/>
    </row>
    <row r="19" spans="1:14" ht="12.75">
      <c r="A19" s="11">
        <v>16</v>
      </c>
      <c r="B19" s="11" t="s">
        <v>36</v>
      </c>
      <c r="C19" s="11">
        <v>33</v>
      </c>
      <c r="D19" s="11">
        <v>9</v>
      </c>
      <c r="E19" s="11">
        <v>34</v>
      </c>
      <c r="F19" s="11">
        <v>0.8</v>
      </c>
      <c r="G19" s="11">
        <v>10</v>
      </c>
      <c r="H19" s="11">
        <v>6</v>
      </c>
      <c r="I19" s="11">
        <v>0.04</v>
      </c>
      <c r="J19" s="11">
        <v>0.1</v>
      </c>
      <c r="K19" s="11">
        <v>0.14</v>
      </c>
      <c r="L19" s="11">
        <v>0.01</v>
      </c>
      <c r="M19" s="11">
        <v>0.001</v>
      </c>
      <c r="N19" s="11">
        <v>0.1</v>
      </c>
    </row>
    <row r="20" spans="1:14" ht="12.75">
      <c r="A20" s="11">
        <v>17</v>
      </c>
      <c r="B20" s="11" t="s">
        <v>37</v>
      </c>
      <c r="C20" s="66">
        <v>32</v>
      </c>
      <c r="D20" s="66">
        <v>10.4</v>
      </c>
      <c r="E20" s="66">
        <v>17.2</v>
      </c>
      <c r="F20" s="19">
        <v>0.8</v>
      </c>
      <c r="G20" s="19">
        <v>10</v>
      </c>
      <c r="H20" s="66">
        <v>3.6</v>
      </c>
      <c r="I20" s="66">
        <v>0.06</v>
      </c>
      <c r="J20" s="66">
        <v>0.012</v>
      </c>
      <c r="K20" s="66">
        <v>0.15</v>
      </c>
      <c r="L20" s="66">
        <v>0.01</v>
      </c>
      <c r="M20" s="66">
        <v>0.001</v>
      </c>
      <c r="N20" s="66">
        <v>0.14</v>
      </c>
    </row>
    <row r="21" spans="1:14" ht="12.75">
      <c r="A21" s="11">
        <v>18</v>
      </c>
      <c r="B21" s="11" t="s">
        <v>38</v>
      </c>
      <c r="C21" s="66">
        <v>30</v>
      </c>
      <c r="D21" s="66">
        <v>12.4</v>
      </c>
      <c r="E21" s="66">
        <v>18.3</v>
      </c>
      <c r="F21" s="11">
        <v>0.8</v>
      </c>
      <c r="G21" s="11">
        <v>10</v>
      </c>
      <c r="H21" s="66">
        <v>3.3</v>
      </c>
      <c r="I21" s="66">
        <v>0.06</v>
      </c>
      <c r="J21" s="66">
        <v>0.012</v>
      </c>
      <c r="K21" s="66">
        <v>0.15</v>
      </c>
      <c r="L21" s="66">
        <v>0.01</v>
      </c>
      <c r="M21" s="66">
        <v>0.001</v>
      </c>
      <c r="N21" s="66">
        <v>0.14</v>
      </c>
    </row>
    <row r="22" spans="1:14" ht="12.75">
      <c r="A22" s="11">
        <v>19</v>
      </c>
      <c r="B22" s="11" t="s">
        <v>39</v>
      </c>
      <c r="C22" s="11">
        <v>21</v>
      </c>
      <c r="D22" s="11">
        <v>8</v>
      </c>
      <c r="E22" s="11">
        <v>26</v>
      </c>
      <c r="F22" s="11">
        <v>0.8</v>
      </c>
      <c r="G22" s="11">
        <v>10</v>
      </c>
      <c r="H22" s="11">
        <v>6</v>
      </c>
      <c r="I22" s="11">
        <v>0.04</v>
      </c>
      <c r="J22" s="11">
        <v>0.1</v>
      </c>
      <c r="K22" s="11">
        <v>0.14</v>
      </c>
      <c r="L22" s="11">
        <v>0.01</v>
      </c>
      <c r="M22" s="11">
        <v>0.001</v>
      </c>
      <c r="N22" s="11">
        <v>0.1</v>
      </c>
    </row>
    <row r="23" spans="1:14" ht="12.75">
      <c r="A23" s="11">
        <v>20</v>
      </c>
      <c r="B23" s="11" t="s">
        <v>40</v>
      </c>
      <c r="C23" s="11">
        <v>57</v>
      </c>
      <c r="D23" s="11">
        <v>27</v>
      </c>
      <c r="E23" s="11">
        <v>114</v>
      </c>
      <c r="F23" s="11">
        <v>0.8</v>
      </c>
      <c r="G23" s="11">
        <v>10</v>
      </c>
      <c r="H23" s="11">
        <v>6</v>
      </c>
      <c r="I23" s="11">
        <v>0.04</v>
      </c>
      <c r="J23" s="11">
        <v>0.1</v>
      </c>
      <c r="K23" s="11">
        <v>0.14</v>
      </c>
      <c r="L23" s="11">
        <v>0.01</v>
      </c>
      <c r="M23" s="11">
        <v>0.001</v>
      </c>
      <c r="N23" s="11">
        <v>0.1</v>
      </c>
    </row>
    <row r="24" spans="1:14" ht="12.75">
      <c r="A24" s="11">
        <v>21</v>
      </c>
      <c r="B24" s="11" t="s">
        <v>41</v>
      </c>
      <c r="C24" s="11">
        <v>71</v>
      </c>
      <c r="D24" s="11">
        <v>16</v>
      </c>
      <c r="E24" s="11">
        <v>18</v>
      </c>
      <c r="F24" s="11">
        <v>0.8</v>
      </c>
      <c r="G24" s="11">
        <v>10</v>
      </c>
      <c r="H24" s="11">
        <v>6</v>
      </c>
      <c r="I24" s="11">
        <v>0.04</v>
      </c>
      <c r="J24" s="11">
        <v>0.1</v>
      </c>
      <c r="K24" s="11">
        <v>0.14</v>
      </c>
      <c r="L24" s="11">
        <v>0.01</v>
      </c>
      <c r="M24" s="11">
        <v>0.001</v>
      </c>
      <c r="N24" s="11">
        <v>0.1</v>
      </c>
    </row>
    <row r="25" spans="1:14" ht="12.75">
      <c r="A25" s="11">
        <v>22</v>
      </c>
      <c r="B25" s="11" t="s">
        <v>42</v>
      </c>
      <c r="C25" s="11">
        <v>17</v>
      </c>
      <c r="D25" s="11">
        <v>7</v>
      </c>
      <c r="E25" s="11">
        <v>18</v>
      </c>
      <c r="F25" s="11">
        <v>0.8</v>
      </c>
      <c r="G25" s="11">
        <v>10</v>
      </c>
      <c r="H25" s="11">
        <v>6</v>
      </c>
      <c r="I25" s="11">
        <v>0.04</v>
      </c>
      <c r="J25" s="11">
        <v>0.1</v>
      </c>
      <c r="K25" s="11">
        <v>0.14</v>
      </c>
      <c r="L25" s="11">
        <v>0.01</v>
      </c>
      <c r="M25" s="11">
        <v>0.001</v>
      </c>
      <c r="N25" s="11">
        <v>0.1</v>
      </c>
    </row>
    <row r="26" spans="1:14" ht="12.75">
      <c r="A26" s="11">
        <v>23</v>
      </c>
      <c r="B26" s="11" t="s">
        <v>43</v>
      </c>
      <c r="C26" s="11">
        <v>17</v>
      </c>
      <c r="D26" s="11">
        <v>5</v>
      </c>
      <c r="E26" s="11">
        <v>15</v>
      </c>
      <c r="F26" s="11">
        <v>0.8</v>
      </c>
      <c r="G26" s="11">
        <v>10</v>
      </c>
      <c r="H26" s="11">
        <v>6</v>
      </c>
      <c r="I26" s="11">
        <v>0.04</v>
      </c>
      <c r="J26" s="11">
        <v>0.1</v>
      </c>
      <c r="K26" s="11">
        <v>0.14</v>
      </c>
      <c r="L26" s="11">
        <v>0.01</v>
      </c>
      <c r="M26" s="11">
        <v>0.001</v>
      </c>
      <c r="N26" s="11">
        <v>0.1</v>
      </c>
    </row>
    <row r="27" spans="1:14" ht="12.75">
      <c r="A27" s="11">
        <v>24</v>
      </c>
      <c r="B27" s="11" t="s">
        <v>44</v>
      </c>
      <c r="C27" s="66">
        <v>17.5</v>
      </c>
      <c r="D27" s="66">
        <v>10.1</v>
      </c>
      <c r="E27" s="66">
        <v>17.9</v>
      </c>
      <c r="F27" s="11">
        <v>0.8</v>
      </c>
      <c r="G27" s="11">
        <v>10</v>
      </c>
      <c r="H27" s="66">
        <v>3.4</v>
      </c>
      <c r="I27" s="66">
        <v>0.06</v>
      </c>
      <c r="J27" s="66">
        <v>0.012</v>
      </c>
      <c r="K27" s="66">
        <v>0.15</v>
      </c>
      <c r="L27" s="66">
        <v>0.01</v>
      </c>
      <c r="M27" s="66">
        <v>0.001</v>
      </c>
      <c r="N27" s="66">
        <v>0.14</v>
      </c>
    </row>
    <row r="28" spans="1:14" ht="12.75">
      <c r="A28" s="11">
        <v>25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11">
        <v>26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11">
        <v>27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11">
        <v>28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>
        <v>29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4" spans="3:5" ht="12.75">
      <c r="C34" s="122" t="s">
        <v>60</v>
      </c>
      <c r="D34" s="122"/>
      <c r="E34" s="122"/>
    </row>
    <row r="35" spans="1:14" ht="12.75">
      <c r="A35" s="11"/>
      <c r="B35" s="11"/>
      <c r="C35" s="12" t="str">
        <f>C3</f>
        <v>N</v>
      </c>
      <c r="D35" s="12" t="str">
        <f aca="true" t="shared" si="0" ref="D35:N35">D3</f>
        <v>P</v>
      </c>
      <c r="E35" s="12" t="str">
        <f t="shared" si="0"/>
        <v>K</v>
      </c>
      <c r="F35" s="12" t="str">
        <f t="shared" si="0"/>
        <v>S</v>
      </c>
      <c r="G35" s="12" t="str">
        <f t="shared" si="0"/>
        <v>Ca</v>
      </c>
      <c r="H35" s="12" t="str">
        <f t="shared" si="0"/>
        <v>Mg</v>
      </c>
      <c r="I35" s="12" t="str">
        <f t="shared" si="0"/>
        <v>Zn</v>
      </c>
      <c r="J35" s="12" t="str">
        <f t="shared" si="0"/>
        <v>Cu</v>
      </c>
      <c r="K35" s="12" t="str">
        <f t="shared" si="0"/>
        <v>Fe</v>
      </c>
      <c r="L35" s="12" t="str">
        <f t="shared" si="0"/>
        <v>B</v>
      </c>
      <c r="M35" s="12" t="str">
        <f t="shared" si="0"/>
        <v>Mo</v>
      </c>
      <c r="N35" s="12" t="str">
        <f t="shared" si="0"/>
        <v>Mn</v>
      </c>
    </row>
    <row r="36" spans="1:14" ht="12.75">
      <c r="A36" s="11">
        <f aca="true" t="shared" si="1" ref="A36:B64">A4</f>
        <v>1</v>
      </c>
      <c r="B36" s="11" t="str">
        <f t="shared" si="1"/>
        <v>Свекла кормовая</v>
      </c>
      <c r="C36" s="11">
        <v>0.31</v>
      </c>
      <c r="D36" s="11">
        <v>0.09</v>
      </c>
      <c r="E36" s="11">
        <v>0.32</v>
      </c>
      <c r="F36" s="11">
        <v>0.1</v>
      </c>
      <c r="G36" s="11">
        <v>0.1</v>
      </c>
      <c r="H36" s="11">
        <v>0.1</v>
      </c>
      <c r="I36" s="11">
        <v>0.1</v>
      </c>
      <c r="J36" s="11">
        <v>0.1</v>
      </c>
      <c r="K36" s="11">
        <v>0.1</v>
      </c>
      <c r="L36" s="11">
        <v>0.1</v>
      </c>
      <c r="M36" s="11">
        <v>0.1</v>
      </c>
      <c r="N36" s="11">
        <v>0.1</v>
      </c>
    </row>
    <row r="37" spans="1:14" ht="12.75">
      <c r="A37" s="11">
        <f t="shared" si="1"/>
        <v>2</v>
      </c>
      <c r="B37" s="11" t="str">
        <f t="shared" si="1"/>
        <v>Свекла сахарная</v>
      </c>
      <c r="C37" s="11">
        <v>0.31</v>
      </c>
      <c r="D37" s="11">
        <v>0.09</v>
      </c>
      <c r="E37" s="11">
        <v>0.32</v>
      </c>
      <c r="F37" s="11">
        <v>0.1</v>
      </c>
      <c r="G37" s="11">
        <v>0.1</v>
      </c>
      <c r="H37" s="11">
        <v>0.1</v>
      </c>
      <c r="I37" s="11">
        <v>0.1</v>
      </c>
      <c r="J37" s="11">
        <v>0.1</v>
      </c>
      <c r="K37" s="11">
        <v>0.1</v>
      </c>
      <c r="L37" s="11">
        <v>0.1</v>
      </c>
      <c r="M37" s="11">
        <v>0.1</v>
      </c>
      <c r="N37" s="11">
        <v>0.1</v>
      </c>
    </row>
    <row r="38" spans="1:14" ht="12.75">
      <c r="A38" s="11">
        <f t="shared" si="1"/>
        <v>3</v>
      </c>
      <c r="B38" s="11" t="str">
        <f t="shared" si="1"/>
        <v>Вика</v>
      </c>
      <c r="C38" s="11">
        <v>0.2</v>
      </c>
      <c r="D38" s="11">
        <v>0.08</v>
      </c>
      <c r="E38" s="11">
        <v>0.18</v>
      </c>
      <c r="F38" s="11">
        <v>0.1</v>
      </c>
      <c r="G38" s="11">
        <v>0.1</v>
      </c>
      <c r="H38" s="11">
        <v>0.1</v>
      </c>
      <c r="I38" s="11">
        <v>0.1</v>
      </c>
      <c r="J38" s="11">
        <v>0.1</v>
      </c>
      <c r="K38" s="11">
        <v>0.1</v>
      </c>
      <c r="L38" s="11">
        <v>0.1</v>
      </c>
      <c r="M38" s="11">
        <v>0.1</v>
      </c>
      <c r="N38" s="11">
        <v>0.1</v>
      </c>
    </row>
    <row r="39" spans="1:14" ht="12.75">
      <c r="A39" s="11">
        <f t="shared" si="1"/>
        <v>4</v>
      </c>
      <c r="B39" s="11" t="str">
        <f t="shared" si="1"/>
        <v>Вико-овес</v>
      </c>
      <c r="C39" s="11">
        <v>0.2</v>
      </c>
      <c r="D39" s="11">
        <v>0.08</v>
      </c>
      <c r="E39" s="11">
        <v>0.18</v>
      </c>
      <c r="F39" s="11">
        <v>0.1</v>
      </c>
      <c r="G39" s="11">
        <v>0.1</v>
      </c>
      <c r="H39" s="11">
        <v>0.1</v>
      </c>
      <c r="I39" s="11">
        <v>0.1</v>
      </c>
      <c r="J39" s="11">
        <v>0.1</v>
      </c>
      <c r="K39" s="11">
        <v>0.1</v>
      </c>
      <c r="L39" s="11">
        <v>0.1</v>
      </c>
      <c r="M39" s="11">
        <v>0.1</v>
      </c>
      <c r="N39" s="11">
        <v>0.1</v>
      </c>
    </row>
    <row r="40" spans="1:14" ht="12.75">
      <c r="A40" s="11">
        <f t="shared" si="1"/>
        <v>5</v>
      </c>
      <c r="B40" s="11" t="str">
        <f t="shared" si="1"/>
        <v>Гречиха</v>
      </c>
      <c r="C40" s="11">
        <v>0.13</v>
      </c>
      <c r="D40" s="11">
        <v>0.08</v>
      </c>
      <c r="E40" s="11">
        <v>0.15</v>
      </c>
      <c r="F40" s="11">
        <v>0.1</v>
      </c>
      <c r="G40" s="11">
        <v>0.1</v>
      </c>
      <c r="H40" s="11">
        <v>0.1</v>
      </c>
      <c r="I40" s="11">
        <v>0.1</v>
      </c>
      <c r="J40" s="11">
        <v>0.1</v>
      </c>
      <c r="K40" s="11">
        <v>0.1</v>
      </c>
      <c r="L40" s="11">
        <v>0.1</v>
      </c>
      <c r="M40" s="11">
        <v>0.1</v>
      </c>
      <c r="N40" s="11">
        <v>0.1</v>
      </c>
    </row>
    <row r="41" spans="1:14" ht="12.75">
      <c r="A41" s="11">
        <f t="shared" si="1"/>
        <v>6</v>
      </c>
      <c r="B41" s="11" t="str">
        <f t="shared" si="1"/>
        <v>Горох</v>
      </c>
      <c r="C41" s="11">
        <v>0.37</v>
      </c>
      <c r="D41" s="11">
        <v>0.09</v>
      </c>
      <c r="E41" s="11">
        <v>0.14</v>
      </c>
      <c r="F41" s="11">
        <v>0.1</v>
      </c>
      <c r="G41" s="11">
        <v>0.1</v>
      </c>
      <c r="H41" s="11">
        <v>0.1</v>
      </c>
      <c r="I41" s="11">
        <v>0.1</v>
      </c>
      <c r="J41" s="11">
        <v>0.1</v>
      </c>
      <c r="K41" s="11">
        <v>0.1</v>
      </c>
      <c r="L41" s="11">
        <v>0.1</v>
      </c>
      <c r="M41" s="11">
        <v>0.1</v>
      </c>
      <c r="N41" s="11">
        <v>0.1</v>
      </c>
    </row>
    <row r="42" spans="1:14" ht="12.75">
      <c r="A42" s="11">
        <f t="shared" si="1"/>
        <v>7</v>
      </c>
      <c r="B42" s="11" t="str">
        <f t="shared" si="1"/>
        <v>Горох (зел.маса)</v>
      </c>
      <c r="C42" s="11">
        <v>0.37</v>
      </c>
      <c r="D42" s="11">
        <v>0.09</v>
      </c>
      <c r="E42" s="11">
        <v>0.14</v>
      </c>
      <c r="F42" s="11">
        <v>0.1</v>
      </c>
      <c r="G42" s="11">
        <v>0.1</v>
      </c>
      <c r="H42" s="11">
        <v>0.1</v>
      </c>
      <c r="I42" s="11">
        <v>0.1</v>
      </c>
      <c r="J42" s="11">
        <v>0.1</v>
      </c>
      <c r="K42" s="11">
        <v>0.1</v>
      </c>
      <c r="L42" s="11">
        <v>0.1</v>
      </c>
      <c r="M42" s="11">
        <v>0.1</v>
      </c>
      <c r="N42" s="11">
        <v>0.1</v>
      </c>
    </row>
    <row r="43" spans="1:14" ht="12.75">
      <c r="A43" s="11">
        <f t="shared" si="1"/>
        <v>8</v>
      </c>
      <c r="B43" s="11" t="str">
        <f t="shared" si="1"/>
        <v>Рожь</v>
      </c>
      <c r="C43" s="11">
        <v>0.15</v>
      </c>
      <c r="D43" s="11">
        <v>0.09</v>
      </c>
      <c r="E43" s="11">
        <v>0.11</v>
      </c>
      <c r="F43" s="11">
        <v>0.1</v>
      </c>
      <c r="G43" s="11">
        <v>0.1</v>
      </c>
      <c r="H43" s="11">
        <v>0.1</v>
      </c>
      <c r="I43" s="11">
        <v>0.1</v>
      </c>
      <c r="J43" s="11">
        <v>0.1</v>
      </c>
      <c r="K43" s="11">
        <v>0.1</v>
      </c>
      <c r="L43" s="11">
        <v>0.1</v>
      </c>
      <c r="M43" s="11">
        <v>0.1</v>
      </c>
      <c r="N43" s="11">
        <v>0.1</v>
      </c>
    </row>
    <row r="44" spans="1:14" ht="12.75">
      <c r="A44" s="11">
        <f t="shared" si="1"/>
        <v>9</v>
      </c>
      <c r="B44" s="11" t="str">
        <f t="shared" si="1"/>
        <v>Рожь (зел.маса)</v>
      </c>
      <c r="C44" s="11">
        <v>0.15</v>
      </c>
      <c r="D44" s="11">
        <v>0.09</v>
      </c>
      <c r="E44" s="11">
        <v>0.11</v>
      </c>
      <c r="F44" s="11">
        <v>0.1</v>
      </c>
      <c r="G44" s="11">
        <v>0.1</v>
      </c>
      <c r="H44" s="11">
        <v>0.1</v>
      </c>
      <c r="I44" s="11">
        <v>0.1</v>
      </c>
      <c r="J44" s="11">
        <v>0.1</v>
      </c>
      <c r="K44" s="11">
        <v>0.1</v>
      </c>
      <c r="L44" s="11">
        <v>0.1</v>
      </c>
      <c r="M44" s="11">
        <v>0.1</v>
      </c>
      <c r="N44" s="11">
        <v>0.1</v>
      </c>
    </row>
    <row r="45" spans="1:14" ht="12.75">
      <c r="A45" s="11">
        <f t="shared" si="1"/>
        <v>10</v>
      </c>
      <c r="B45" s="11" t="str">
        <f t="shared" si="1"/>
        <v>Картофель</v>
      </c>
      <c r="C45" s="11">
        <v>0.21</v>
      </c>
      <c r="D45" s="11">
        <v>0.1</v>
      </c>
      <c r="E45" s="11">
        <v>0.3</v>
      </c>
      <c r="F45" s="11">
        <v>0.1</v>
      </c>
      <c r="G45" s="11">
        <v>0.1</v>
      </c>
      <c r="H45" s="11">
        <v>0.1</v>
      </c>
      <c r="I45" s="11">
        <v>0.1</v>
      </c>
      <c r="J45" s="11">
        <v>0.1</v>
      </c>
      <c r="K45" s="11">
        <v>0.1</v>
      </c>
      <c r="L45" s="11">
        <v>0.1</v>
      </c>
      <c r="M45" s="11">
        <v>0.1</v>
      </c>
      <c r="N45" s="11">
        <v>0.1</v>
      </c>
    </row>
    <row r="46" spans="1:14" ht="12.75">
      <c r="A46" s="11">
        <f t="shared" si="1"/>
        <v>11</v>
      </c>
      <c r="B46" s="11" t="str">
        <f t="shared" si="1"/>
        <v>Рапс озимый</v>
      </c>
      <c r="C46" s="11">
        <v>0.25</v>
      </c>
      <c r="D46" s="11">
        <v>0.11</v>
      </c>
      <c r="E46" s="11">
        <v>0.26</v>
      </c>
      <c r="F46" s="11">
        <v>0.1</v>
      </c>
      <c r="G46" s="11">
        <v>0.1</v>
      </c>
      <c r="H46" s="11">
        <v>0.1</v>
      </c>
      <c r="I46" s="11">
        <v>0.1</v>
      </c>
      <c r="J46" s="11">
        <v>0.1</v>
      </c>
      <c r="K46" s="11">
        <v>0.1</v>
      </c>
      <c r="L46" s="11">
        <v>0.1</v>
      </c>
      <c r="M46" s="11">
        <v>0.1</v>
      </c>
      <c r="N46" s="11">
        <v>0.1</v>
      </c>
    </row>
    <row r="47" spans="1:14" ht="12.75">
      <c r="A47" s="11">
        <f t="shared" si="1"/>
        <v>12</v>
      </c>
      <c r="B47" s="11" t="str">
        <f t="shared" si="1"/>
        <v>Кукурудза</v>
      </c>
      <c r="C47" s="11">
        <v>0.26</v>
      </c>
      <c r="D47" s="11">
        <v>0.11</v>
      </c>
      <c r="E47" s="11">
        <v>0.26</v>
      </c>
      <c r="F47" s="11">
        <v>0.1</v>
      </c>
      <c r="G47" s="11">
        <v>0.1</v>
      </c>
      <c r="H47" s="11">
        <v>0.1</v>
      </c>
      <c r="I47" s="11">
        <v>0.1</v>
      </c>
      <c r="J47" s="11">
        <v>0.1</v>
      </c>
      <c r="K47" s="11">
        <v>0.1</v>
      </c>
      <c r="L47" s="11">
        <v>0.1</v>
      </c>
      <c r="M47" s="11">
        <v>0.1</v>
      </c>
      <c r="N47" s="11">
        <v>0.1</v>
      </c>
    </row>
    <row r="48" spans="1:14" ht="12.75">
      <c r="A48" s="11">
        <f t="shared" si="1"/>
        <v>13</v>
      </c>
      <c r="B48" s="11" t="str">
        <f t="shared" si="1"/>
        <v>Кукурудза (зел.маса)</v>
      </c>
      <c r="C48" s="11">
        <v>0.19</v>
      </c>
      <c r="D48" s="11">
        <v>0.09</v>
      </c>
      <c r="E48" s="11">
        <v>0.18</v>
      </c>
      <c r="F48" s="11">
        <v>0.1</v>
      </c>
      <c r="G48" s="11">
        <v>0.1</v>
      </c>
      <c r="H48" s="11">
        <v>0.1</v>
      </c>
      <c r="I48" s="11">
        <v>0.1</v>
      </c>
      <c r="J48" s="11">
        <v>0.1</v>
      </c>
      <c r="K48" s="11">
        <v>0.1</v>
      </c>
      <c r="L48" s="11">
        <v>0.1</v>
      </c>
      <c r="M48" s="11">
        <v>0.1</v>
      </c>
      <c r="N48" s="11">
        <v>0.1</v>
      </c>
    </row>
    <row r="49" spans="1:14" ht="12.75">
      <c r="A49" s="11">
        <f t="shared" si="1"/>
        <v>14</v>
      </c>
      <c r="B49" s="11" t="str">
        <f t="shared" si="1"/>
        <v>Люцерна (сено)</v>
      </c>
      <c r="C49" s="11">
        <v>0.18</v>
      </c>
      <c r="D49" s="11">
        <v>0.08</v>
      </c>
      <c r="E49" s="11">
        <v>0.16</v>
      </c>
      <c r="F49" s="11">
        <v>0.1</v>
      </c>
      <c r="G49" s="11">
        <v>0.1</v>
      </c>
      <c r="H49" s="11">
        <v>0.1</v>
      </c>
      <c r="I49" s="11">
        <v>0.1</v>
      </c>
      <c r="J49" s="11">
        <v>0.1</v>
      </c>
      <c r="K49" s="11">
        <v>0.1</v>
      </c>
      <c r="L49" s="11">
        <v>0.1</v>
      </c>
      <c r="M49" s="11">
        <v>0.1</v>
      </c>
      <c r="N49" s="11">
        <v>0.1</v>
      </c>
    </row>
    <row r="50" spans="1:14" ht="12.75">
      <c r="A50" s="11">
        <f t="shared" si="1"/>
        <v>15</v>
      </c>
      <c r="B50" s="11" t="str">
        <f t="shared" si="1"/>
        <v>Овес</v>
      </c>
      <c r="C50" s="11">
        <v>0.2</v>
      </c>
      <c r="D50" s="11">
        <v>0.08</v>
      </c>
      <c r="E50" s="11">
        <v>0.18</v>
      </c>
      <c r="F50" s="11">
        <v>0.1</v>
      </c>
      <c r="G50" s="11">
        <v>0.1</v>
      </c>
      <c r="H50" s="11">
        <v>0.1</v>
      </c>
      <c r="I50" s="11">
        <v>0.1</v>
      </c>
      <c r="J50" s="11">
        <v>0.1</v>
      </c>
      <c r="K50" s="11">
        <v>0.1</v>
      </c>
      <c r="L50" s="11">
        <v>0.1</v>
      </c>
      <c r="M50" s="11">
        <v>0.1</v>
      </c>
      <c r="N50" s="11">
        <v>0.1</v>
      </c>
    </row>
    <row r="51" spans="1:14" ht="12.75">
      <c r="A51" s="11">
        <f t="shared" si="1"/>
        <v>16</v>
      </c>
      <c r="B51" s="11" t="str">
        <f t="shared" si="1"/>
        <v>Просо</v>
      </c>
      <c r="C51" s="11">
        <v>0.2</v>
      </c>
      <c r="D51" s="11">
        <v>0.08</v>
      </c>
      <c r="E51" s="11">
        <v>0.18</v>
      </c>
      <c r="F51" s="11">
        <v>0.1</v>
      </c>
      <c r="G51" s="11">
        <v>0.1</v>
      </c>
      <c r="H51" s="11">
        <v>0.1</v>
      </c>
      <c r="I51" s="11">
        <v>0.1</v>
      </c>
      <c r="J51" s="11">
        <v>0.1</v>
      </c>
      <c r="K51" s="11">
        <v>0.1</v>
      </c>
      <c r="L51" s="11">
        <v>0.1</v>
      </c>
      <c r="M51" s="11">
        <v>0.1</v>
      </c>
      <c r="N51" s="11">
        <v>0.1</v>
      </c>
    </row>
    <row r="52" spans="1:14" ht="12.75">
      <c r="A52" s="11">
        <f t="shared" si="1"/>
        <v>17</v>
      </c>
      <c r="B52" s="11" t="str">
        <f t="shared" si="1"/>
        <v>Пшеница озимая</v>
      </c>
      <c r="C52" s="11">
        <v>0.25</v>
      </c>
      <c r="D52" s="11">
        <v>0.09</v>
      </c>
      <c r="E52" s="11">
        <v>0.15</v>
      </c>
      <c r="F52" s="11">
        <v>0.1</v>
      </c>
      <c r="G52" s="11">
        <v>0.1</v>
      </c>
      <c r="H52" s="11">
        <v>0.1</v>
      </c>
      <c r="I52" s="11">
        <v>0.1</v>
      </c>
      <c r="J52" s="11">
        <v>0.1</v>
      </c>
      <c r="K52" s="11">
        <v>0.1</v>
      </c>
      <c r="L52" s="11">
        <v>0.1</v>
      </c>
      <c r="M52" s="11">
        <v>0.1</v>
      </c>
      <c r="N52" s="11">
        <v>0.1</v>
      </c>
    </row>
    <row r="53" spans="1:14" ht="12.75">
      <c r="A53" s="11">
        <f t="shared" si="1"/>
        <v>18</v>
      </c>
      <c r="B53" s="11" t="str">
        <f t="shared" si="1"/>
        <v>Пшеница яровая</v>
      </c>
      <c r="C53" s="11">
        <v>0.2</v>
      </c>
      <c r="D53" s="11">
        <v>0.08</v>
      </c>
      <c r="E53" s="11">
        <v>0.18</v>
      </c>
      <c r="F53" s="11">
        <v>0.1</v>
      </c>
      <c r="G53" s="11">
        <v>0.1</v>
      </c>
      <c r="H53" s="11">
        <v>0.1</v>
      </c>
      <c r="I53" s="11">
        <v>0.1</v>
      </c>
      <c r="J53" s="11">
        <v>0.1</v>
      </c>
      <c r="K53" s="11">
        <v>0.1</v>
      </c>
      <c r="L53" s="11">
        <v>0.1</v>
      </c>
      <c r="M53" s="11">
        <v>0.1</v>
      </c>
      <c r="N53" s="11">
        <v>0.1</v>
      </c>
    </row>
    <row r="54" spans="1:14" ht="12.75">
      <c r="A54" s="11">
        <f t="shared" si="1"/>
        <v>19</v>
      </c>
      <c r="B54" s="11" t="str">
        <f t="shared" si="1"/>
        <v>Рис</v>
      </c>
      <c r="C54" s="11">
        <v>0.2</v>
      </c>
      <c r="D54" s="11">
        <v>0.08</v>
      </c>
      <c r="E54" s="11">
        <v>0.18</v>
      </c>
      <c r="F54" s="11">
        <v>0.1</v>
      </c>
      <c r="G54" s="11">
        <v>0.1</v>
      </c>
      <c r="H54" s="11">
        <v>0.1</v>
      </c>
      <c r="I54" s="11">
        <v>0.1</v>
      </c>
      <c r="J54" s="11">
        <v>0.1</v>
      </c>
      <c r="K54" s="11">
        <v>0.1</v>
      </c>
      <c r="L54" s="11">
        <v>0.1</v>
      </c>
      <c r="M54" s="11">
        <v>0.1</v>
      </c>
      <c r="N54" s="11">
        <v>0.1</v>
      </c>
    </row>
    <row r="55" spans="1:14" ht="12.75">
      <c r="A55" s="11">
        <f t="shared" si="1"/>
        <v>20</v>
      </c>
      <c r="B55" s="11" t="str">
        <f t="shared" si="1"/>
        <v>Подсолнух</v>
      </c>
      <c r="C55" s="11">
        <v>0.33</v>
      </c>
      <c r="D55" s="11">
        <v>0.17</v>
      </c>
      <c r="E55" s="11">
        <v>0.65</v>
      </c>
      <c r="F55" s="11">
        <v>0.1</v>
      </c>
      <c r="G55" s="11">
        <v>0.1</v>
      </c>
      <c r="H55" s="11">
        <v>0.1</v>
      </c>
      <c r="I55" s="11">
        <v>0.1</v>
      </c>
      <c r="J55" s="11">
        <v>0.1</v>
      </c>
      <c r="K55" s="11">
        <v>0.1</v>
      </c>
      <c r="L55" s="11">
        <v>0.1</v>
      </c>
      <c r="M55" s="11">
        <v>0.1</v>
      </c>
      <c r="N55" s="11">
        <v>0.1</v>
      </c>
    </row>
    <row r="56" spans="1:14" ht="12.75">
      <c r="A56" s="11">
        <f t="shared" si="1"/>
        <v>21</v>
      </c>
      <c r="B56" s="11" t="str">
        <f t="shared" si="1"/>
        <v>Соя</v>
      </c>
      <c r="C56" s="11">
        <v>0.2</v>
      </c>
      <c r="D56" s="11">
        <v>0.08</v>
      </c>
      <c r="E56" s="11">
        <v>0.18</v>
      </c>
      <c r="F56" s="11">
        <v>0.1</v>
      </c>
      <c r="G56" s="11">
        <v>0.1</v>
      </c>
      <c r="H56" s="11">
        <v>0.1</v>
      </c>
      <c r="I56" s="11">
        <v>0.1</v>
      </c>
      <c r="J56" s="11">
        <v>0.1</v>
      </c>
      <c r="K56" s="11">
        <v>0.1</v>
      </c>
      <c r="L56" s="11">
        <v>0.1</v>
      </c>
      <c r="M56" s="11">
        <v>0.1</v>
      </c>
      <c r="N56" s="11">
        <v>0.1</v>
      </c>
    </row>
    <row r="57" spans="1:14" ht="12.75">
      <c r="A57" s="11">
        <f t="shared" si="1"/>
        <v>22</v>
      </c>
      <c r="B57" s="11" t="str">
        <f t="shared" si="1"/>
        <v>Сенокосы природные</v>
      </c>
      <c r="C57" s="11">
        <v>0.18</v>
      </c>
      <c r="D57" s="11">
        <v>0.08</v>
      </c>
      <c r="E57" s="11">
        <v>0.16</v>
      </c>
      <c r="F57" s="11">
        <v>0.1</v>
      </c>
      <c r="G57" s="11">
        <v>0.1</v>
      </c>
      <c r="H57" s="11">
        <v>0.1</v>
      </c>
      <c r="I57" s="11">
        <v>0.1</v>
      </c>
      <c r="J57" s="11">
        <v>0.1</v>
      </c>
      <c r="K57" s="11">
        <v>0.1</v>
      </c>
      <c r="L57" s="11">
        <v>0.1</v>
      </c>
      <c r="M57" s="11">
        <v>0.1</v>
      </c>
      <c r="N57" s="11">
        <v>0.1</v>
      </c>
    </row>
    <row r="58" spans="1:14" ht="12.75">
      <c r="A58" s="11">
        <f t="shared" si="1"/>
        <v>23</v>
      </c>
      <c r="B58" s="11" t="str">
        <f t="shared" si="1"/>
        <v>Травы многолетние</v>
      </c>
      <c r="C58" s="11">
        <v>0.18</v>
      </c>
      <c r="D58" s="11">
        <v>0.08</v>
      </c>
      <c r="E58" s="11">
        <v>0.16</v>
      </c>
      <c r="F58" s="11">
        <v>0.1</v>
      </c>
      <c r="G58" s="11">
        <v>0.1</v>
      </c>
      <c r="H58" s="11">
        <v>0.1</v>
      </c>
      <c r="I58" s="11">
        <v>0.1</v>
      </c>
      <c r="J58" s="11">
        <v>0.1</v>
      </c>
      <c r="K58" s="11">
        <v>0.1</v>
      </c>
      <c r="L58" s="11">
        <v>0.1</v>
      </c>
      <c r="M58" s="11">
        <v>0.1</v>
      </c>
      <c r="N58" s="11">
        <v>0.1</v>
      </c>
    </row>
    <row r="59" spans="1:14" ht="12.75">
      <c r="A59" s="11">
        <f t="shared" si="1"/>
        <v>24</v>
      </c>
      <c r="B59" s="11" t="str">
        <f t="shared" si="1"/>
        <v>Ячмень яровой</v>
      </c>
      <c r="C59" s="11">
        <v>0.2</v>
      </c>
      <c r="D59" s="11">
        <v>0.08</v>
      </c>
      <c r="E59" s="11">
        <v>0.18</v>
      </c>
      <c r="F59" s="11">
        <v>0.1</v>
      </c>
      <c r="G59" s="11">
        <v>0.1</v>
      </c>
      <c r="H59" s="11">
        <v>0.1</v>
      </c>
      <c r="I59" s="11">
        <v>0.1</v>
      </c>
      <c r="J59" s="11">
        <v>0.1</v>
      </c>
      <c r="K59" s="11">
        <v>0.1</v>
      </c>
      <c r="L59" s="11">
        <v>0.1</v>
      </c>
      <c r="M59" s="11">
        <v>0.1</v>
      </c>
      <c r="N59" s="11">
        <v>0.1</v>
      </c>
    </row>
    <row r="60" spans="1:14" ht="12.75">
      <c r="A60" s="11">
        <f t="shared" si="1"/>
        <v>25</v>
      </c>
      <c r="B60" s="11">
        <f t="shared" si="1"/>
        <v>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ht="12.75">
      <c r="A61" s="11">
        <f t="shared" si="1"/>
        <v>26</v>
      </c>
      <c r="B61" s="11">
        <f t="shared" si="1"/>
        <v>0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2.75">
      <c r="A62" s="11">
        <f t="shared" si="1"/>
        <v>27</v>
      </c>
      <c r="B62" s="11">
        <f t="shared" si="1"/>
        <v>0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ht="12.75">
      <c r="A63" s="11">
        <f t="shared" si="1"/>
        <v>28</v>
      </c>
      <c r="B63" s="11">
        <f t="shared" si="1"/>
        <v>0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ht="12.75">
      <c r="A64" s="11">
        <f t="shared" si="1"/>
        <v>29</v>
      </c>
      <c r="B64" s="11">
        <f t="shared" si="1"/>
        <v>0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5" ht="12.75">
      <c r="A65" s="123" t="s">
        <v>59</v>
      </c>
      <c r="B65" s="123"/>
      <c r="C65" s="123"/>
      <c r="D65" s="123"/>
      <c r="E65" s="124"/>
    </row>
    <row r="66" spans="1:14" ht="12.75">
      <c r="A66" s="20"/>
      <c r="B66" s="20"/>
      <c r="C66" s="12" t="str">
        <f>C35</f>
        <v>N</v>
      </c>
      <c r="D66" s="12" t="str">
        <f aca="true" t="shared" si="2" ref="D66:N66">D35</f>
        <v>P</v>
      </c>
      <c r="E66" s="12" t="str">
        <f t="shared" si="2"/>
        <v>K</v>
      </c>
      <c r="F66" s="12" t="str">
        <f t="shared" si="2"/>
        <v>S</v>
      </c>
      <c r="G66" s="12" t="str">
        <f t="shared" si="2"/>
        <v>Ca</v>
      </c>
      <c r="H66" s="12" t="str">
        <f t="shared" si="2"/>
        <v>Mg</v>
      </c>
      <c r="I66" s="12" t="str">
        <f t="shared" si="2"/>
        <v>Zn</v>
      </c>
      <c r="J66" s="12" t="str">
        <f t="shared" si="2"/>
        <v>Cu</v>
      </c>
      <c r="K66" s="12" t="str">
        <f t="shared" si="2"/>
        <v>Fe</v>
      </c>
      <c r="L66" s="12" t="str">
        <f t="shared" si="2"/>
        <v>B</v>
      </c>
      <c r="M66" s="12" t="str">
        <f t="shared" si="2"/>
        <v>Mo</v>
      </c>
      <c r="N66" s="12" t="str">
        <f t="shared" si="2"/>
        <v>Mn</v>
      </c>
    </row>
    <row r="67" spans="1:14" ht="12.75">
      <c r="A67" s="19">
        <f aca="true" t="shared" si="3" ref="A67:B95">A4</f>
        <v>1</v>
      </c>
      <c r="B67" s="21" t="str">
        <f t="shared" si="3"/>
        <v>Свекла кормовая</v>
      </c>
      <c r="C67" s="11">
        <v>0.75</v>
      </c>
      <c r="D67" s="11">
        <v>0.5</v>
      </c>
      <c r="E67" s="11">
        <v>0.85</v>
      </c>
      <c r="F67" s="11">
        <v>0.2</v>
      </c>
      <c r="G67" s="11">
        <v>0.2</v>
      </c>
      <c r="H67" s="11">
        <v>0.2</v>
      </c>
      <c r="I67" s="11">
        <v>0.2</v>
      </c>
      <c r="J67" s="11">
        <v>0.2</v>
      </c>
      <c r="K67" s="11">
        <v>0.2</v>
      </c>
      <c r="L67" s="11">
        <v>0.2</v>
      </c>
      <c r="M67" s="11">
        <v>0.2</v>
      </c>
      <c r="N67" s="11">
        <v>0.2</v>
      </c>
    </row>
    <row r="68" spans="1:14" ht="12.75">
      <c r="A68" s="19">
        <f t="shared" si="3"/>
        <v>2</v>
      </c>
      <c r="B68" s="21" t="str">
        <f t="shared" si="3"/>
        <v>Свекла сахарная</v>
      </c>
      <c r="C68" s="11">
        <v>0.75</v>
      </c>
      <c r="D68" s="11">
        <v>0.5</v>
      </c>
      <c r="E68" s="11">
        <v>0.85</v>
      </c>
      <c r="F68" s="11">
        <v>0.2</v>
      </c>
      <c r="G68" s="11">
        <v>0.2</v>
      </c>
      <c r="H68" s="11">
        <v>0.2</v>
      </c>
      <c r="I68" s="11">
        <v>0.2</v>
      </c>
      <c r="J68" s="11">
        <v>0.2</v>
      </c>
      <c r="K68" s="11">
        <v>0.2</v>
      </c>
      <c r="L68" s="11">
        <v>0.2</v>
      </c>
      <c r="M68" s="11">
        <v>0.2</v>
      </c>
      <c r="N68" s="11">
        <v>0.2</v>
      </c>
    </row>
    <row r="69" spans="1:14" ht="12.75">
      <c r="A69" s="19">
        <f t="shared" si="3"/>
        <v>3</v>
      </c>
      <c r="B69" s="21" t="str">
        <f t="shared" si="3"/>
        <v>Вика</v>
      </c>
      <c r="C69" s="11">
        <v>0.75</v>
      </c>
      <c r="D69" s="11">
        <v>0.5</v>
      </c>
      <c r="E69" s="11">
        <v>0.85</v>
      </c>
      <c r="F69" s="11">
        <v>0.2</v>
      </c>
      <c r="G69" s="11">
        <v>0.2</v>
      </c>
      <c r="H69" s="11">
        <v>0.2</v>
      </c>
      <c r="I69" s="11">
        <v>0.2</v>
      </c>
      <c r="J69" s="11">
        <v>0.2</v>
      </c>
      <c r="K69" s="11">
        <v>0.2</v>
      </c>
      <c r="L69" s="11">
        <v>0.2</v>
      </c>
      <c r="M69" s="11">
        <v>0.2</v>
      </c>
      <c r="N69" s="11">
        <v>0.2</v>
      </c>
    </row>
    <row r="70" spans="1:14" ht="12.75">
      <c r="A70" s="19">
        <f t="shared" si="3"/>
        <v>4</v>
      </c>
      <c r="B70" s="21" t="str">
        <f t="shared" si="3"/>
        <v>Вико-овес</v>
      </c>
      <c r="C70" s="11">
        <v>0.75</v>
      </c>
      <c r="D70" s="11">
        <v>0.5</v>
      </c>
      <c r="E70" s="11">
        <v>0.85</v>
      </c>
      <c r="F70" s="11">
        <v>0.2</v>
      </c>
      <c r="G70" s="11">
        <v>0.2</v>
      </c>
      <c r="H70" s="11">
        <v>0.2</v>
      </c>
      <c r="I70" s="11">
        <v>0.2</v>
      </c>
      <c r="J70" s="11">
        <v>0.2</v>
      </c>
      <c r="K70" s="11">
        <v>0.2</v>
      </c>
      <c r="L70" s="11">
        <v>0.2</v>
      </c>
      <c r="M70" s="11">
        <v>0.2</v>
      </c>
      <c r="N70" s="11">
        <v>0.2</v>
      </c>
    </row>
    <row r="71" spans="1:14" ht="12.75">
      <c r="A71" s="19">
        <f t="shared" si="3"/>
        <v>5</v>
      </c>
      <c r="B71" s="21" t="str">
        <f t="shared" si="3"/>
        <v>Гречиха</v>
      </c>
      <c r="C71" s="11">
        <v>0.75</v>
      </c>
      <c r="D71" s="11">
        <v>0.5</v>
      </c>
      <c r="E71" s="11">
        <v>0.85</v>
      </c>
      <c r="F71" s="11">
        <v>0.2</v>
      </c>
      <c r="G71" s="11">
        <v>0.2</v>
      </c>
      <c r="H71" s="11">
        <v>0.2</v>
      </c>
      <c r="I71" s="11">
        <v>0.2</v>
      </c>
      <c r="J71" s="11">
        <v>0.2</v>
      </c>
      <c r="K71" s="11">
        <v>0.2</v>
      </c>
      <c r="L71" s="11">
        <v>0.2</v>
      </c>
      <c r="M71" s="11">
        <v>0.2</v>
      </c>
      <c r="N71" s="11">
        <v>0.2</v>
      </c>
    </row>
    <row r="72" spans="1:14" ht="12.75">
      <c r="A72" s="19">
        <f t="shared" si="3"/>
        <v>6</v>
      </c>
      <c r="B72" s="21" t="str">
        <f t="shared" si="3"/>
        <v>Горох</v>
      </c>
      <c r="C72" s="11">
        <v>0.75</v>
      </c>
      <c r="D72" s="11">
        <v>0.5</v>
      </c>
      <c r="E72" s="11">
        <v>0.85</v>
      </c>
      <c r="F72" s="11">
        <v>0.2</v>
      </c>
      <c r="G72" s="11">
        <v>0.2</v>
      </c>
      <c r="H72" s="11">
        <v>0.2</v>
      </c>
      <c r="I72" s="11">
        <v>0.2</v>
      </c>
      <c r="J72" s="11">
        <v>0.2</v>
      </c>
      <c r="K72" s="11">
        <v>0.2</v>
      </c>
      <c r="L72" s="11">
        <v>0.2</v>
      </c>
      <c r="M72" s="11">
        <v>0.2</v>
      </c>
      <c r="N72" s="11">
        <v>0.2</v>
      </c>
    </row>
    <row r="73" spans="1:14" ht="12.75">
      <c r="A73" s="19">
        <f t="shared" si="3"/>
        <v>7</v>
      </c>
      <c r="B73" s="21" t="str">
        <f t="shared" si="3"/>
        <v>Горох (зел.маса)</v>
      </c>
      <c r="C73" s="11">
        <v>0.75</v>
      </c>
      <c r="D73" s="11">
        <v>0.5</v>
      </c>
      <c r="E73" s="11">
        <v>0.85</v>
      </c>
      <c r="F73" s="11">
        <v>0.2</v>
      </c>
      <c r="G73" s="11">
        <v>0.2</v>
      </c>
      <c r="H73" s="11">
        <v>0.2</v>
      </c>
      <c r="I73" s="11">
        <v>0.2</v>
      </c>
      <c r="J73" s="11">
        <v>0.2</v>
      </c>
      <c r="K73" s="11">
        <v>0.2</v>
      </c>
      <c r="L73" s="11">
        <v>0.2</v>
      </c>
      <c r="M73" s="11">
        <v>0.2</v>
      </c>
      <c r="N73" s="11">
        <v>0.2</v>
      </c>
    </row>
    <row r="74" spans="1:14" ht="12.75">
      <c r="A74" s="19">
        <f t="shared" si="3"/>
        <v>8</v>
      </c>
      <c r="B74" s="21" t="str">
        <f t="shared" si="3"/>
        <v>Рожь</v>
      </c>
      <c r="C74" s="11">
        <v>0.75</v>
      </c>
      <c r="D74" s="11">
        <v>0.5</v>
      </c>
      <c r="E74" s="11">
        <v>0.85</v>
      </c>
      <c r="F74" s="11">
        <v>0.2</v>
      </c>
      <c r="G74" s="11">
        <v>0.2</v>
      </c>
      <c r="H74" s="11">
        <v>0.2</v>
      </c>
      <c r="I74" s="11">
        <v>0.2</v>
      </c>
      <c r="J74" s="11">
        <v>0.2</v>
      </c>
      <c r="K74" s="11">
        <v>0.2</v>
      </c>
      <c r="L74" s="11">
        <v>0.2</v>
      </c>
      <c r="M74" s="11">
        <v>0.2</v>
      </c>
      <c r="N74" s="11">
        <v>0.2</v>
      </c>
    </row>
    <row r="75" spans="1:14" ht="12.75">
      <c r="A75" s="19">
        <f t="shared" si="3"/>
        <v>9</v>
      </c>
      <c r="B75" s="21" t="str">
        <f t="shared" si="3"/>
        <v>Рожь (зел.маса)</v>
      </c>
      <c r="C75" s="11">
        <v>0.75</v>
      </c>
      <c r="D75" s="11">
        <v>0.5</v>
      </c>
      <c r="E75" s="11">
        <v>0.85</v>
      </c>
      <c r="F75" s="11">
        <v>0.2</v>
      </c>
      <c r="G75" s="11">
        <v>0.2</v>
      </c>
      <c r="H75" s="11">
        <v>0.2</v>
      </c>
      <c r="I75" s="11">
        <v>0.2</v>
      </c>
      <c r="J75" s="11">
        <v>0.2</v>
      </c>
      <c r="K75" s="11">
        <v>0.2</v>
      </c>
      <c r="L75" s="11">
        <v>0.2</v>
      </c>
      <c r="M75" s="11">
        <v>0.2</v>
      </c>
      <c r="N75" s="11">
        <v>0.2</v>
      </c>
    </row>
    <row r="76" spans="1:14" ht="12.75">
      <c r="A76" s="19">
        <f t="shared" si="3"/>
        <v>10</v>
      </c>
      <c r="B76" s="21" t="str">
        <f t="shared" si="3"/>
        <v>Картофель</v>
      </c>
      <c r="C76" s="11">
        <v>0.75</v>
      </c>
      <c r="D76" s="11">
        <v>0.5</v>
      </c>
      <c r="E76" s="11">
        <v>0.85</v>
      </c>
      <c r="F76" s="11">
        <v>0.2</v>
      </c>
      <c r="G76" s="11">
        <v>0.2</v>
      </c>
      <c r="H76" s="11">
        <v>0.2</v>
      </c>
      <c r="I76" s="11">
        <v>0.2</v>
      </c>
      <c r="J76" s="11">
        <v>0.2</v>
      </c>
      <c r="K76" s="11">
        <v>0.2</v>
      </c>
      <c r="L76" s="11">
        <v>0.2</v>
      </c>
      <c r="M76" s="11">
        <v>0.2</v>
      </c>
      <c r="N76" s="11">
        <v>0.2</v>
      </c>
    </row>
    <row r="77" spans="1:14" ht="12.75">
      <c r="A77" s="19">
        <f t="shared" si="3"/>
        <v>11</v>
      </c>
      <c r="B77" s="21" t="str">
        <f t="shared" si="3"/>
        <v>Рапс озимый</v>
      </c>
      <c r="C77" s="11">
        <v>0.75</v>
      </c>
      <c r="D77" s="11">
        <v>0.5</v>
      </c>
      <c r="E77" s="11">
        <v>0.85</v>
      </c>
      <c r="F77" s="11">
        <v>0.2</v>
      </c>
      <c r="G77" s="11">
        <v>0.2</v>
      </c>
      <c r="H77" s="11">
        <v>0.2</v>
      </c>
      <c r="I77" s="11">
        <v>0.2</v>
      </c>
      <c r="J77" s="11">
        <v>0.2</v>
      </c>
      <c r="K77" s="11">
        <v>0.2</v>
      </c>
      <c r="L77" s="11">
        <v>0.2</v>
      </c>
      <c r="M77" s="11">
        <v>0.2</v>
      </c>
      <c r="N77" s="11">
        <v>0.2</v>
      </c>
    </row>
    <row r="78" spans="1:14" ht="12.75">
      <c r="A78" s="19">
        <f t="shared" si="3"/>
        <v>12</v>
      </c>
      <c r="B78" s="21" t="str">
        <f t="shared" si="3"/>
        <v>Кукурудза</v>
      </c>
      <c r="C78" s="11">
        <v>0.75</v>
      </c>
      <c r="D78" s="11">
        <v>0.5</v>
      </c>
      <c r="E78" s="11">
        <v>0.85</v>
      </c>
      <c r="F78" s="11">
        <v>0.2</v>
      </c>
      <c r="G78" s="11">
        <v>0.2</v>
      </c>
      <c r="H78" s="11">
        <v>0.2</v>
      </c>
      <c r="I78" s="11">
        <v>0.2</v>
      </c>
      <c r="J78" s="11">
        <v>0.2</v>
      </c>
      <c r="K78" s="11">
        <v>0.2</v>
      </c>
      <c r="L78" s="11">
        <v>0.2</v>
      </c>
      <c r="M78" s="11">
        <v>0.2</v>
      </c>
      <c r="N78" s="11">
        <v>0.2</v>
      </c>
    </row>
    <row r="79" spans="1:14" ht="12.75">
      <c r="A79" s="19">
        <f t="shared" si="3"/>
        <v>13</v>
      </c>
      <c r="B79" s="21" t="str">
        <f t="shared" si="3"/>
        <v>Кукурудза (зел.маса)</v>
      </c>
      <c r="C79" s="11">
        <v>0.75</v>
      </c>
      <c r="D79" s="11">
        <v>0.5</v>
      </c>
      <c r="E79" s="11">
        <v>0.85</v>
      </c>
      <c r="F79" s="11">
        <v>0.2</v>
      </c>
      <c r="G79" s="11">
        <v>0.2</v>
      </c>
      <c r="H79" s="11">
        <v>0.2</v>
      </c>
      <c r="I79" s="11">
        <v>0.2</v>
      </c>
      <c r="J79" s="11">
        <v>0.2</v>
      </c>
      <c r="K79" s="11">
        <v>0.2</v>
      </c>
      <c r="L79" s="11">
        <v>0.2</v>
      </c>
      <c r="M79" s="11">
        <v>0.2</v>
      </c>
      <c r="N79" s="11">
        <v>0.2</v>
      </c>
    </row>
    <row r="80" spans="1:14" ht="12.75">
      <c r="A80" s="19">
        <f t="shared" si="3"/>
        <v>14</v>
      </c>
      <c r="B80" s="21" t="str">
        <f t="shared" si="3"/>
        <v>Люцерна (сено)</v>
      </c>
      <c r="C80" s="11">
        <v>0.75</v>
      </c>
      <c r="D80" s="11">
        <v>0.5</v>
      </c>
      <c r="E80" s="11">
        <v>0.85</v>
      </c>
      <c r="F80" s="11">
        <v>0.2</v>
      </c>
      <c r="G80" s="11">
        <v>0.2</v>
      </c>
      <c r="H80" s="11">
        <v>0.2</v>
      </c>
      <c r="I80" s="11">
        <v>0.2</v>
      </c>
      <c r="J80" s="11">
        <v>0.2</v>
      </c>
      <c r="K80" s="11">
        <v>0.2</v>
      </c>
      <c r="L80" s="11">
        <v>0.2</v>
      </c>
      <c r="M80" s="11">
        <v>0.2</v>
      </c>
      <c r="N80" s="11">
        <v>0.2</v>
      </c>
    </row>
    <row r="81" spans="1:14" ht="12.75">
      <c r="A81" s="19">
        <f t="shared" si="3"/>
        <v>15</v>
      </c>
      <c r="B81" s="21" t="str">
        <f t="shared" si="3"/>
        <v>Овес</v>
      </c>
      <c r="C81" s="11">
        <v>0.75</v>
      </c>
      <c r="D81" s="11">
        <v>0.5</v>
      </c>
      <c r="E81" s="11">
        <v>0.85</v>
      </c>
      <c r="F81" s="11">
        <v>0.2</v>
      </c>
      <c r="G81" s="11">
        <v>0.2</v>
      </c>
      <c r="H81" s="11">
        <v>0.2</v>
      </c>
      <c r="I81" s="11">
        <v>0.2</v>
      </c>
      <c r="J81" s="11">
        <v>0.2</v>
      </c>
      <c r="K81" s="11">
        <v>0.2</v>
      </c>
      <c r="L81" s="11">
        <v>0.2</v>
      </c>
      <c r="M81" s="11">
        <v>0.2</v>
      </c>
      <c r="N81" s="11">
        <v>0.2</v>
      </c>
    </row>
    <row r="82" spans="1:14" ht="12.75">
      <c r="A82" s="19">
        <f t="shared" si="3"/>
        <v>16</v>
      </c>
      <c r="B82" s="21" t="str">
        <f t="shared" si="3"/>
        <v>Просо</v>
      </c>
      <c r="C82" s="11">
        <v>0.75</v>
      </c>
      <c r="D82" s="11">
        <v>0.5</v>
      </c>
      <c r="E82" s="11">
        <v>0.85</v>
      </c>
      <c r="F82" s="11">
        <v>0.2</v>
      </c>
      <c r="G82" s="11">
        <v>0.2</v>
      </c>
      <c r="H82" s="11">
        <v>0.2</v>
      </c>
      <c r="I82" s="11">
        <v>0.2</v>
      </c>
      <c r="J82" s="11">
        <v>0.2</v>
      </c>
      <c r="K82" s="11">
        <v>0.2</v>
      </c>
      <c r="L82" s="11">
        <v>0.2</v>
      </c>
      <c r="M82" s="11">
        <v>0.2</v>
      </c>
      <c r="N82" s="11">
        <v>0.2</v>
      </c>
    </row>
    <row r="83" spans="1:14" ht="12.75">
      <c r="A83" s="19">
        <f t="shared" si="3"/>
        <v>17</v>
      </c>
      <c r="B83" s="21" t="str">
        <f t="shared" si="3"/>
        <v>Пшеница озимая</v>
      </c>
      <c r="C83" s="11">
        <v>0.75</v>
      </c>
      <c r="D83" s="11">
        <v>0.5</v>
      </c>
      <c r="E83" s="11">
        <v>0.85</v>
      </c>
      <c r="F83" s="11">
        <v>0.2</v>
      </c>
      <c r="G83" s="11">
        <v>0.2</v>
      </c>
      <c r="H83" s="11">
        <v>0.2</v>
      </c>
      <c r="I83" s="11">
        <v>0.2</v>
      </c>
      <c r="J83" s="11">
        <v>0.2</v>
      </c>
      <c r="K83" s="11">
        <v>0.2</v>
      </c>
      <c r="L83" s="11">
        <v>0.2</v>
      </c>
      <c r="M83" s="11">
        <v>0.2</v>
      </c>
      <c r="N83" s="11">
        <v>0.2</v>
      </c>
    </row>
    <row r="84" spans="1:14" ht="12.75">
      <c r="A84" s="19">
        <f t="shared" si="3"/>
        <v>18</v>
      </c>
      <c r="B84" s="21" t="str">
        <f t="shared" si="3"/>
        <v>Пшеница яровая</v>
      </c>
      <c r="C84" s="11">
        <v>0.75</v>
      </c>
      <c r="D84" s="11">
        <v>0.5</v>
      </c>
      <c r="E84" s="11">
        <v>0.85</v>
      </c>
      <c r="F84" s="11">
        <v>0.2</v>
      </c>
      <c r="G84" s="11">
        <v>0.2</v>
      </c>
      <c r="H84" s="11">
        <v>0.2</v>
      </c>
      <c r="I84" s="11">
        <v>0.2</v>
      </c>
      <c r="J84" s="11">
        <v>0.2</v>
      </c>
      <c r="K84" s="11">
        <v>0.2</v>
      </c>
      <c r="L84" s="11">
        <v>0.2</v>
      </c>
      <c r="M84" s="11">
        <v>0.2</v>
      </c>
      <c r="N84" s="11">
        <v>0.2</v>
      </c>
    </row>
    <row r="85" spans="1:14" ht="12.75">
      <c r="A85" s="19">
        <f t="shared" si="3"/>
        <v>19</v>
      </c>
      <c r="B85" s="21" t="str">
        <f t="shared" si="3"/>
        <v>Рис</v>
      </c>
      <c r="C85" s="11">
        <v>0.75</v>
      </c>
      <c r="D85" s="11">
        <v>0.5</v>
      </c>
      <c r="E85" s="11">
        <v>0.85</v>
      </c>
      <c r="F85" s="11">
        <v>0.2</v>
      </c>
      <c r="G85" s="11">
        <v>0.2</v>
      </c>
      <c r="H85" s="11">
        <v>0.2</v>
      </c>
      <c r="I85" s="11">
        <v>0.2</v>
      </c>
      <c r="J85" s="11">
        <v>0.2</v>
      </c>
      <c r="K85" s="11">
        <v>0.2</v>
      </c>
      <c r="L85" s="11">
        <v>0.2</v>
      </c>
      <c r="M85" s="11">
        <v>0.2</v>
      </c>
      <c r="N85" s="11">
        <v>0.2</v>
      </c>
    </row>
    <row r="86" spans="1:14" ht="12.75">
      <c r="A86" s="19">
        <f t="shared" si="3"/>
        <v>20</v>
      </c>
      <c r="B86" s="21" t="str">
        <f t="shared" si="3"/>
        <v>Подсолнух</v>
      </c>
      <c r="C86" s="11">
        <v>0.75</v>
      </c>
      <c r="D86" s="11">
        <v>0.5</v>
      </c>
      <c r="E86" s="11">
        <v>0.85</v>
      </c>
      <c r="F86" s="11">
        <v>0.2</v>
      </c>
      <c r="G86" s="11">
        <v>0.2</v>
      </c>
      <c r="H86" s="11">
        <v>0.2</v>
      </c>
      <c r="I86" s="11">
        <v>0.2</v>
      </c>
      <c r="J86" s="11">
        <v>0.2</v>
      </c>
      <c r="K86" s="11">
        <v>0.2</v>
      </c>
      <c r="L86" s="11">
        <v>0.2</v>
      </c>
      <c r="M86" s="11">
        <v>0.2</v>
      </c>
      <c r="N86" s="11">
        <v>0.2</v>
      </c>
    </row>
    <row r="87" spans="1:14" ht="12.75">
      <c r="A87" s="19">
        <f t="shared" si="3"/>
        <v>21</v>
      </c>
      <c r="B87" s="21" t="str">
        <f t="shared" si="3"/>
        <v>Соя</v>
      </c>
      <c r="C87" s="11">
        <v>0.75</v>
      </c>
      <c r="D87" s="11">
        <v>0.5</v>
      </c>
      <c r="E87" s="11">
        <v>0.85</v>
      </c>
      <c r="F87" s="11">
        <v>0.2</v>
      </c>
      <c r="G87" s="11">
        <v>0.2</v>
      </c>
      <c r="H87" s="11">
        <v>0.2</v>
      </c>
      <c r="I87" s="11">
        <v>0.2</v>
      </c>
      <c r="J87" s="11">
        <v>0.2</v>
      </c>
      <c r="K87" s="11">
        <v>0.2</v>
      </c>
      <c r="L87" s="11">
        <v>0.2</v>
      </c>
      <c r="M87" s="11">
        <v>0.2</v>
      </c>
      <c r="N87" s="11">
        <v>0.2</v>
      </c>
    </row>
    <row r="88" spans="1:14" ht="12.75">
      <c r="A88" s="19">
        <f t="shared" si="3"/>
        <v>22</v>
      </c>
      <c r="B88" s="21" t="str">
        <f t="shared" si="3"/>
        <v>Сенокосы природные</v>
      </c>
      <c r="C88" s="11">
        <v>0.75</v>
      </c>
      <c r="D88" s="11">
        <v>0.5</v>
      </c>
      <c r="E88" s="11">
        <v>0.85</v>
      </c>
      <c r="F88" s="11">
        <v>0.2</v>
      </c>
      <c r="G88" s="11">
        <v>0.2</v>
      </c>
      <c r="H88" s="11">
        <v>0.2</v>
      </c>
      <c r="I88" s="11">
        <v>0.2</v>
      </c>
      <c r="J88" s="11">
        <v>0.2</v>
      </c>
      <c r="K88" s="11">
        <v>0.2</v>
      </c>
      <c r="L88" s="11">
        <v>0.2</v>
      </c>
      <c r="M88" s="11">
        <v>0.2</v>
      </c>
      <c r="N88" s="11">
        <v>0.2</v>
      </c>
    </row>
    <row r="89" spans="1:14" ht="12.75">
      <c r="A89" s="19">
        <f t="shared" si="3"/>
        <v>23</v>
      </c>
      <c r="B89" s="21" t="str">
        <f t="shared" si="3"/>
        <v>Травы многолетние</v>
      </c>
      <c r="C89" s="11">
        <v>0.75</v>
      </c>
      <c r="D89" s="11">
        <v>0.5</v>
      </c>
      <c r="E89" s="11">
        <v>0.85</v>
      </c>
      <c r="F89" s="11">
        <v>0.2</v>
      </c>
      <c r="G89" s="11">
        <v>0.2</v>
      </c>
      <c r="H89" s="11">
        <v>0.2</v>
      </c>
      <c r="I89" s="11">
        <v>0.2</v>
      </c>
      <c r="J89" s="11">
        <v>0.2</v>
      </c>
      <c r="K89" s="11">
        <v>0.2</v>
      </c>
      <c r="L89" s="11">
        <v>0.2</v>
      </c>
      <c r="M89" s="11">
        <v>0.2</v>
      </c>
      <c r="N89" s="11">
        <v>0.2</v>
      </c>
    </row>
    <row r="90" spans="1:14" ht="12.75">
      <c r="A90" s="19">
        <f t="shared" si="3"/>
        <v>24</v>
      </c>
      <c r="B90" s="21" t="str">
        <f t="shared" si="3"/>
        <v>Ячмень яровой</v>
      </c>
      <c r="C90" s="11">
        <v>0.75</v>
      </c>
      <c r="D90" s="11">
        <v>0.5</v>
      </c>
      <c r="E90" s="11">
        <v>0.85</v>
      </c>
      <c r="F90" s="11">
        <v>0.2</v>
      </c>
      <c r="G90" s="11">
        <v>0.2</v>
      </c>
      <c r="H90" s="11">
        <v>0.2</v>
      </c>
      <c r="I90" s="11">
        <v>0.2</v>
      </c>
      <c r="J90" s="11">
        <v>0.2</v>
      </c>
      <c r="K90" s="11">
        <v>0.2</v>
      </c>
      <c r="L90" s="11">
        <v>0.2</v>
      </c>
      <c r="M90" s="11">
        <v>0.2</v>
      </c>
      <c r="N90" s="11">
        <v>0.2</v>
      </c>
    </row>
    <row r="91" spans="1:14" ht="12.75">
      <c r="A91" s="19">
        <f t="shared" si="3"/>
        <v>25</v>
      </c>
      <c r="B91" s="21">
        <f t="shared" si="3"/>
        <v>0</v>
      </c>
      <c r="C91" s="11">
        <v>0.75</v>
      </c>
      <c r="D91" s="11">
        <v>0.5</v>
      </c>
      <c r="E91" s="11">
        <v>0.85</v>
      </c>
      <c r="F91" s="11">
        <v>0.2</v>
      </c>
      <c r="G91" s="11">
        <v>0.2</v>
      </c>
      <c r="H91" s="11">
        <v>0.2</v>
      </c>
      <c r="I91" s="11">
        <v>0.2</v>
      </c>
      <c r="J91" s="11">
        <v>0.2</v>
      </c>
      <c r="K91" s="11">
        <v>0.2</v>
      </c>
      <c r="L91" s="11">
        <v>0.2</v>
      </c>
      <c r="M91" s="11">
        <v>0.2</v>
      </c>
      <c r="N91" s="11">
        <v>0.2</v>
      </c>
    </row>
    <row r="92" spans="1:14" ht="12.75">
      <c r="A92" s="19">
        <f t="shared" si="3"/>
        <v>26</v>
      </c>
      <c r="B92" s="21">
        <f t="shared" si="3"/>
        <v>0</v>
      </c>
      <c r="C92" s="11">
        <v>0.75</v>
      </c>
      <c r="D92" s="11">
        <v>0.5</v>
      </c>
      <c r="E92" s="11">
        <v>0.85</v>
      </c>
      <c r="F92" s="11">
        <v>0.2</v>
      </c>
      <c r="G92" s="11">
        <v>0.2</v>
      </c>
      <c r="H92" s="11">
        <v>0.2</v>
      </c>
      <c r="I92" s="11">
        <v>0.2</v>
      </c>
      <c r="J92" s="11">
        <v>0.2</v>
      </c>
      <c r="K92" s="11">
        <v>0.2</v>
      </c>
      <c r="L92" s="11">
        <v>0.2</v>
      </c>
      <c r="M92" s="11">
        <v>0.2</v>
      </c>
      <c r="N92" s="11">
        <v>0.2</v>
      </c>
    </row>
    <row r="93" spans="1:14" ht="12.75">
      <c r="A93" s="19">
        <f t="shared" si="3"/>
        <v>27</v>
      </c>
      <c r="B93" s="21">
        <f t="shared" si="3"/>
        <v>0</v>
      </c>
      <c r="C93" s="11">
        <v>0.75</v>
      </c>
      <c r="D93" s="11">
        <v>0.5</v>
      </c>
      <c r="E93" s="11">
        <v>0.85</v>
      </c>
      <c r="F93" s="11">
        <v>0.2</v>
      </c>
      <c r="G93" s="11">
        <v>0.2</v>
      </c>
      <c r="H93" s="11">
        <v>0.2</v>
      </c>
      <c r="I93" s="11">
        <v>0.2</v>
      </c>
      <c r="J93" s="11">
        <v>0.2</v>
      </c>
      <c r="K93" s="11">
        <v>0.2</v>
      </c>
      <c r="L93" s="11">
        <v>0.2</v>
      </c>
      <c r="M93" s="11">
        <v>0.2</v>
      </c>
      <c r="N93" s="11">
        <v>0.2</v>
      </c>
    </row>
    <row r="94" spans="1:14" ht="12.75">
      <c r="A94" s="19">
        <f t="shared" si="3"/>
        <v>28</v>
      </c>
      <c r="B94" s="21">
        <f t="shared" si="3"/>
        <v>0</v>
      </c>
      <c r="C94" s="11">
        <v>0.75</v>
      </c>
      <c r="D94" s="11">
        <v>0.5</v>
      </c>
      <c r="E94" s="11">
        <v>0.85</v>
      </c>
      <c r="F94" s="11">
        <v>0.2</v>
      </c>
      <c r="G94" s="11">
        <v>0.2</v>
      </c>
      <c r="H94" s="11">
        <v>0.2</v>
      </c>
      <c r="I94" s="11">
        <v>0.2</v>
      </c>
      <c r="J94" s="11">
        <v>0.2</v>
      </c>
      <c r="K94" s="11">
        <v>0.2</v>
      </c>
      <c r="L94" s="11">
        <v>0.2</v>
      </c>
      <c r="M94" s="11">
        <v>0.2</v>
      </c>
      <c r="N94" s="11">
        <v>0.2</v>
      </c>
    </row>
    <row r="95" spans="1:14" ht="12.75">
      <c r="A95" s="19">
        <f t="shared" si="3"/>
        <v>29</v>
      </c>
      <c r="B95" s="21">
        <f t="shared" si="3"/>
        <v>0</v>
      </c>
      <c r="C95" s="11">
        <v>0.75</v>
      </c>
      <c r="D95" s="11">
        <v>0.5</v>
      </c>
      <c r="E95" s="11">
        <v>0.85</v>
      </c>
      <c r="F95" s="11">
        <v>0.2</v>
      </c>
      <c r="G95" s="11">
        <v>0.2</v>
      </c>
      <c r="H95" s="11">
        <v>0.2</v>
      </c>
      <c r="I95" s="11">
        <v>0.2</v>
      </c>
      <c r="J95" s="11">
        <v>0.2</v>
      </c>
      <c r="K95" s="11">
        <v>0.2</v>
      </c>
      <c r="L95" s="11">
        <v>0.2</v>
      </c>
      <c r="M95" s="11">
        <v>0.2</v>
      </c>
      <c r="N95" s="11">
        <v>0.2</v>
      </c>
    </row>
    <row r="96" spans="1:2" ht="12.75">
      <c r="A96" s="18"/>
      <c r="B96" s="18"/>
    </row>
  </sheetData>
  <sheetProtection/>
  <mergeCells count="2">
    <mergeCell ref="C34:E34"/>
    <mergeCell ref="A65:E65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zoomScale="130" zoomScaleNormal="130" zoomScalePageLayoutView="0" workbookViewId="0" topLeftCell="A1">
      <selection activeCell="H16" sqref="H16"/>
    </sheetView>
  </sheetViews>
  <sheetFormatPr defaultColWidth="9.00390625" defaultRowHeight="12.75"/>
  <cols>
    <col min="1" max="1" width="19.625" style="0" customWidth="1"/>
    <col min="2" max="2" width="10.875" style="0" customWidth="1"/>
    <col min="3" max="3" width="7.75390625" style="0" customWidth="1"/>
  </cols>
  <sheetData>
    <row r="1" spans="1:12" ht="12.75">
      <c r="A1" t="s">
        <v>94</v>
      </c>
      <c r="B1" t="s">
        <v>31</v>
      </c>
      <c r="G1" t="s">
        <v>98</v>
      </c>
      <c r="H1" t="s">
        <v>99</v>
      </c>
      <c r="K1" t="s">
        <v>100</v>
      </c>
      <c r="L1" t="s">
        <v>101</v>
      </c>
    </row>
    <row r="2" spans="1:14" ht="12.75">
      <c r="A2" s="95" t="s">
        <v>95</v>
      </c>
      <c r="B2" s="95"/>
      <c r="C2" s="94"/>
      <c r="D2" s="94"/>
      <c r="E2" s="94"/>
      <c r="F2" s="95">
        <v>53</v>
      </c>
      <c r="G2" s="95" t="s">
        <v>96</v>
      </c>
      <c r="H2" s="94"/>
      <c r="I2" s="94"/>
      <c r="J2" s="94"/>
      <c r="K2" s="94"/>
      <c r="L2" s="94"/>
      <c r="M2" s="94"/>
      <c r="N2" s="94"/>
    </row>
    <row r="4" spans="1:14" ht="12.75">
      <c r="A4" s="93" t="s">
        <v>97</v>
      </c>
      <c r="B4" s="93"/>
      <c r="C4" s="93"/>
      <c r="D4" s="93" t="s">
        <v>102</v>
      </c>
      <c r="E4" s="93"/>
      <c r="F4" s="93">
        <v>140</v>
      </c>
      <c r="G4" s="93" t="s">
        <v>96</v>
      </c>
      <c r="H4" s="94"/>
      <c r="I4" s="94"/>
      <c r="J4" s="94"/>
      <c r="K4" s="94"/>
      <c r="L4" s="94"/>
      <c r="M4" s="94"/>
      <c r="N4" s="94"/>
    </row>
    <row r="6" spans="1:14" ht="14.25">
      <c r="A6" s="125" t="s">
        <v>103</v>
      </c>
      <c r="B6" s="125" t="s">
        <v>105</v>
      </c>
      <c r="C6" s="13" t="s">
        <v>6</v>
      </c>
      <c r="D6" s="13" t="s">
        <v>7</v>
      </c>
      <c r="E6" s="13" t="s">
        <v>8</v>
      </c>
      <c r="F6" s="14" t="s">
        <v>49</v>
      </c>
      <c r="G6" s="14" t="s">
        <v>50</v>
      </c>
      <c r="H6" s="14" t="s">
        <v>51</v>
      </c>
      <c r="I6" s="14" t="s">
        <v>52</v>
      </c>
      <c r="J6" s="14" t="s">
        <v>53</v>
      </c>
      <c r="K6" s="14" t="s">
        <v>54</v>
      </c>
      <c r="L6" s="15" t="s">
        <v>55</v>
      </c>
      <c r="M6" s="15" t="s">
        <v>56</v>
      </c>
      <c r="N6" s="15" t="s">
        <v>57</v>
      </c>
    </row>
    <row r="7" spans="1:14" ht="12.75">
      <c r="A7" s="126"/>
      <c r="B7" s="126"/>
      <c r="C7" s="88">
        <v>78.05333333333334</v>
      </c>
      <c r="D7" s="88"/>
      <c r="E7" s="88"/>
      <c r="F7" s="88">
        <v>56</v>
      </c>
      <c r="G7" s="88">
        <v>340</v>
      </c>
      <c r="H7" s="88">
        <v>165</v>
      </c>
      <c r="I7" s="88">
        <v>2.8000000000000003</v>
      </c>
      <c r="J7" s="88">
        <v>7</v>
      </c>
      <c r="K7" s="88">
        <v>9.8</v>
      </c>
      <c r="L7" s="88">
        <v>0.7000000000000001</v>
      </c>
      <c r="M7" s="88">
        <v>0.06999999999999999</v>
      </c>
      <c r="N7" s="88">
        <v>7</v>
      </c>
    </row>
    <row r="8" spans="1:14" ht="12.75">
      <c r="A8" s="96" t="s">
        <v>106</v>
      </c>
      <c r="B8" s="96">
        <v>0</v>
      </c>
      <c r="C8" s="96">
        <f>$B$8*0.16</f>
        <v>0</v>
      </c>
      <c r="D8" s="96">
        <f>$B$8*0.16</f>
        <v>0</v>
      </c>
      <c r="E8" s="96">
        <f>$B$8*0.16</f>
        <v>0</v>
      </c>
      <c r="F8" s="96"/>
      <c r="G8" s="96"/>
      <c r="H8" s="96"/>
      <c r="I8" s="96"/>
      <c r="J8" s="96"/>
      <c r="K8" s="96"/>
      <c r="L8" s="96"/>
      <c r="M8" s="96"/>
      <c r="N8" s="96"/>
    </row>
    <row r="9" spans="1:14" ht="12.75">
      <c r="A9" s="96" t="s">
        <v>104</v>
      </c>
      <c r="B9" s="96">
        <v>300</v>
      </c>
      <c r="C9" s="96">
        <f>B9*0.21</f>
        <v>63</v>
      </c>
      <c r="D9" s="96"/>
      <c r="E9" s="96"/>
      <c r="F9" s="96">
        <f>B9*0.23</f>
        <v>69</v>
      </c>
      <c r="G9" s="96"/>
      <c r="H9" s="96"/>
      <c r="I9" s="96"/>
      <c r="J9" s="96"/>
      <c r="K9" s="96"/>
      <c r="L9" s="96"/>
      <c r="M9" s="96"/>
      <c r="N9" s="96"/>
    </row>
    <row r="10" spans="1:14" ht="12.75">
      <c r="A10" s="96" t="s">
        <v>112</v>
      </c>
      <c r="B10" s="96">
        <v>100</v>
      </c>
      <c r="C10" s="96"/>
      <c r="D10" s="96">
        <f>$B$10*0.04</f>
        <v>4</v>
      </c>
      <c r="E10" s="96">
        <f>$B$10*0.34</f>
        <v>34</v>
      </c>
      <c r="F10" s="96">
        <f>$B$10*0.13</f>
        <v>13</v>
      </c>
      <c r="G10" s="96">
        <f>$B$10*0.17</f>
        <v>17</v>
      </c>
      <c r="H10" s="96">
        <f>$B$10*0.12</f>
        <v>12</v>
      </c>
      <c r="I10" s="96">
        <f>$B$10*0.8/1000</f>
        <v>0.08</v>
      </c>
      <c r="J10" s="96">
        <f>$B$10*0.24/1000</f>
        <v>0.024</v>
      </c>
      <c r="K10" s="96">
        <f>$B$10*1.34/1000</f>
        <v>0.134</v>
      </c>
      <c r="L10" s="96">
        <f>$B$10*1/1000</f>
        <v>0.1</v>
      </c>
      <c r="M10" s="96">
        <f>$B$10*0.0015/1000</f>
        <v>0.00015</v>
      </c>
      <c r="N10" s="96">
        <f>$B$10*0.15/1000</f>
        <v>0.015</v>
      </c>
    </row>
    <row r="11" ht="12.75">
      <c r="A11" t="s">
        <v>108</v>
      </c>
    </row>
    <row r="12" ht="12.75">
      <c r="A12" t="s">
        <v>109</v>
      </c>
    </row>
    <row r="13" spans="1:14" ht="12.75">
      <c r="A13" t="s">
        <v>111</v>
      </c>
      <c r="H13" s="14" t="s">
        <v>51</v>
      </c>
      <c r="I13" s="14" t="s">
        <v>52</v>
      </c>
      <c r="J13" s="14" t="s">
        <v>53</v>
      </c>
      <c r="K13" s="14" t="s">
        <v>54</v>
      </c>
      <c r="L13" s="15" t="s">
        <v>55</v>
      </c>
      <c r="M13" s="15" t="s">
        <v>56</v>
      </c>
      <c r="N13" s="15" t="s">
        <v>57</v>
      </c>
    </row>
    <row r="14" spans="8:14" ht="12.75">
      <c r="H14" s="88">
        <v>165</v>
      </c>
      <c r="I14" s="88">
        <v>2.8000000000000003</v>
      </c>
      <c r="J14" s="88">
        <v>7</v>
      </c>
      <c r="K14" s="88">
        <v>9.8</v>
      </c>
      <c r="L14" s="88">
        <v>0.7000000000000001</v>
      </c>
      <c r="M14" s="88">
        <v>0.06999999999999999</v>
      </c>
      <c r="N14" s="88">
        <v>7</v>
      </c>
    </row>
    <row r="15" spans="1:7" ht="12.75">
      <c r="A15" s="95" t="s">
        <v>110</v>
      </c>
      <c r="B15" s="95"/>
      <c r="C15" s="95"/>
      <c r="D15" s="95"/>
      <c r="E15" s="95"/>
      <c r="F15" s="95">
        <v>250</v>
      </c>
      <c r="G15" s="95" t="s">
        <v>96</v>
      </c>
    </row>
    <row r="17" spans="1:14" ht="14.25">
      <c r="A17" s="125" t="s">
        <v>103</v>
      </c>
      <c r="B17" s="125" t="s">
        <v>105</v>
      </c>
      <c r="C17" s="13" t="s">
        <v>6</v>
      </c>
      <c r="D17" s="13" t="s">
        <v>7</v>
      </c>
      <c r="E17" s="13" t="s">
        <v>8</v>
      </c>
      <c r="F17" s="14" t="s">
        <v>49</v>
      </c>
      <c r="G17" s="14" t="s">
        <v>50</v>
      </c>
      <c r="H17" s="14" t="s">
        <v>51</v>
      </c>
      <c r="I17" s="14" t="s">
        <v>52</v>
      </c>
      <c r="J17" s="14" t="s">
        <v>53</v>
      </c>
      <c r="K17" s="14" t="s">
        <v>54</v>
      </c>
      <c r="L17" s="15" t="s">
        <v>55</v>
      </c>
      <c r="M17" s="15" t="s">
        <v>56</v>
      </c>
      <c r="N17" s="15" t="s">
        <v>57</v>
      </c>
    </row>
    <row r="18" spans="1:14" ht="12.75">
      <c r="A18" s="126"/>
      <c r="B18" s="126"/>
      <c r="C18" s="29">
        <v>131.38666666666668</v>
      </c>
      <c r="D18" s="29">
        <v>9.800000000000011</v>
      </c>
      <c r="E18" s="29">
        <v>100.82352941176471</v>
      </c>
      <c r="F18" s="29">
        <v>100</v>
      </c>
      <c r="G18" s="29">
        <v>890</v>
      </c>
      <c r="H18" s="29">
        <v>495</v>
      </c>
      <c r="I18" s="29">
        <v>5</v>
      </c>
      <c r="J18" s="29">
        <v>12.5</v>
      </c>
      <c r="K18" s="29">
        <v>17.5</v>
      </c>
      <c r="L18" s="29">
        <v>1.25</v>
      </c>
      <c r="M18" s="29">
        <v>0.125</v>
      </c>
      <c r="N18" s="29">
        <v>12.5</v>
      </c>
    </row>
    <row r="19" spans="1:14" ht="12.75">
      <c r="A19" s="96" t="s">
        <v>106</v>
      </c>
      <c r="B19" s="96">
        <v>200</v>
      </c>
      <c r="C19" s="96">
        <f>$B$8*0.16</f>
        <v>0</v>
      </c>
      <c r="D19" s="96">
        <f>$B$8*0.16</f>
        <v>0</v>
      </c>
      <c r="E19" s="96">
        <f>$B$8*0.16</f>
        <v>0</v>
      </c>
      <c r="F19" s="96"/>
      <c r="G19" s="96"/>
      <c r="H19" s="96"/>
      <c r="I19" s="96"/>
      <c r="J19" s="96"/>
      <c r="K19" s="96"/>
      <c r="L19" s="96"/>
      <c r="M19" s="96"/>
      <c r="N19" s="96"/>
    </row>
    <row r="20" spans="1:14" ht="12.75">
      <c r="A20" s="96" t="s">
        <v>104</v>
      </c>
      <c r="B20" s="96">
        <v>300</v>
      </c>
      <c r="C20" s="96">
        <f>B20*0.21</f>
        <v>63</v>
      </c>
      <c r="D20" s="96"/>
      <c r="E20" s="96"/>
      <c r="F20" s="96">
        <f>B20*0.23</f>
        <v>69</v>
      </c>
      <c r="G20" s="96"/>
      <c r="H20" s="96"/>
      <c r="I20" s="96"/>
      <c r="J20" s="96"/>
      <c r="K20" s="96"/>
      <c r="L20" s="96"/>
      <c r="M20" s="96"/>
      <c r="N20" s="96"/>
    </row>
    <row r="21" spans="1:14" ht="12.75">
      <c r="A21" s="96" t="s">
        <v>112</v>
      </c>
      <c r="B21" s="96">
        <v>300</v>
      </c>
      <c r="C21" s="96"/>
      <c r="D21" s="96">
        <f>$B$21*0.04</f>
        <v>12</v>
      </c>
      <c r="E21" s="96">
        <f>$B$21*0.34</f>
        <v>102.00000000000001</v>
      </c>
      <c r="F21" s="96">
        <f>$B$21*0.13</f>
        <v>39</v>
      </c>
      <c r="G21" s="96">
        <f>$B$21*0.17</f>
        <v>51.00000000000001</v>
      </c>
      <c r="H21" s="96">
        <f>$B$21*0.12</f>
        <v>36</v>
      </c>
      <c r="I21" s="96">
        <f>$B$21*0.8/1000</f>
        <v>0.24</v>
      </c>
      <c r="J21" s="96">
        <f>$B$21*0.24/1000</f>
        <v>0.072</v>
      </c>
      <c r="K21" s="96">
        <f>$B$21*1.34/1000</f>
        <v>0.402</v>
      </c>
      <c r="L21" s="96">
        <f>$B$21*1/1000</f>
        <v>0.3</v>
      </c>
      <c r="M21" s="96">
        <f>$B$21*0.0015/1000</f>
        <v>0.00045</v>
      </c>
      <c r="N21" s="96">
        <f>$B$21*0.15/1000</f>
        <v>0.045</v>
      </c>
    </row>
    <row r="22" spans="1:14" ht="12.75">
      <c r="A22" s="96" t="s">
        <v>107</v>
      </c>
      <c r="B22" s="96">
        <v>3000</v>
      </c>
      <c r="C22" s="96"/>
      <c r="D22" s="96"/>
      <c r="E22" s="96"/>
      <c r="F22" s="96">
        <f>B22*0.21</f>
        <v>630</v>
      </c>
      <c r="G22" s="96">
        <f>B22*0.31</f>
        <v>930</v>
      </c>
      <c r="H22" s="96"/>
      <c r="I22" s="96"/>
      <c r="J22" s="96"/>
      <c r="K22" s="96"/>
      <c r="L22" s="96"/>
      <c r="M22" s="96"/>
      <c r="N22" s="96"/>
    </row>
    <row r="23" spans="1:14" ht="12.75">
      <c r="A23" s="96" t="s">
        <v>113</v>
      </c>
      <c r="B23" s="96">
        <v>150</v>
      </c>
      <c r="C23" s="96">
        <f>B23*0.42</f>
        <v>63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</row>
  </sheetData>
  <sheetProtection/>
  <mergeCells count="4">
    <mergeCell ref="B6:B7"/>
    <mergeCell ref="A6:A7"/>
    <mergeCell ref="A17:A18"/>
    <mergeCell ref="B17:B1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zoomScale="130" zoomScaleNormal="130" zoomScalePageLayoutView="0" workbookViewId="0" topLeftCell="A1">
      <selection activeCell="E18" sqref="E18"/>
    </sheetView>
  </sheetViews>
  <sheetFormatPr defaultColWidth="9.00390625" defaultRowHeight="12.75"/>
  <cols>
    <col min="1" max="1" width="19.625" style="0" customWidth="1"/>
    <col min="2" max="2" width="10.875" style="0" customWidth="1"/>
    <col min="3" max="3" width="7.75390625" style="0" customWidth="1"/>
  </cols>
  <sheetData>
    <row r="1" spans="1:12" ht="12.75">
      <c r="A1" t="s">
        <v>94</v>
      </c>
      <c r="B1" t="s">
        <v>41</v>
      </c>
      <c r="G1" t="s">
        <v>98</v>
      </c>
      <c r="H1" t="s">
        <v>114</v>
      </c>
      <c r="K1" t="s">
        <v>100</v>
      </c>
      <c r="L1" t="s">
        <v>115</v>
      </c>
    </row>
    <row r="2" spans="1:14" ht="12.75">
      <c r="A2" s="95" t="s">
        <v>95</v>
      </c>
      <c r="B2" s="95"/>
      <c r="C2" s="94"/>
      <c r="D2" s="94"/>
      <c r="E2" s="95" t="s">
        <v>117</v>
      </c>
      <c r="F2" s="95"/>
      <c r="G2" s="95" t="s">
        <v>118</v>
      </c>
      <c r="H2" s="94"/>
      <c r="I2" s="94"/>
      <c r="J2" s="94"/>
      <c r="K2" s="94"/>
      <c r="L2" s="94"/>
      <c r="M2" s="94"/>
      <c r="N2" s="94"/>
    </row>
    <row r="4" spans="1:14" ht="12.75">
      <c r="A4" s="93" t="s">
        <v>116</v>
      </c>
      <c r="B4" s="93"/>
      <c r="C4" s="93"/>
      <c r="D4" s="93" t="s">
        <v>102</v>
      </c>
      <c r="E4" s="93"/>
      <c r="F4" s="93">
        <v>22</v>
      </c>
      <c r="G4" s="93" t="s">
        <v>96</v>
      </c>
      <c r="H4" s="94"/>
      <c r="I4" s="94"/>
      <c r="J4" s="94"/>
      <c r="K4" s="94"/>
      <c r="L4" s="94"/>
      <c r="M4" s="94"/>
      <c r="N4" s="94"/>
    </row>
    <row r="6" spans="1:14" ht="14.25">
      <c r="A6" s="125" t="s">
        <v>103</v>
      </c>
      <c r="B6" s="125" t="s">
        <v>105</v>
      </c>
      <c r="C6" s="13" t="s">
        <v>6</v>
      </c>
      <c r="D6" s="13" t="s">
        <v>7</v>
      </c>
      <c r="E6" s="13" t="s">
        <v>8</v>
      </c>
      <c r="F6" s="14" t="s">
        <v>49</v>
      </c>
      <c r="G6" s="14" t="s">
        <v>50</v>
      </c>
      <c r="H6" s="14" t="s">
        <v>51</v>
      </c>
      <c r="I6" s="14" t="s">
        <v>52</v>
      </c>
      <c r="J6" s="14" t="s">
        <v>53</v>
      </c>
      <c r="K6" s="14" t="s">
        <v>54</v>
      </c>
      <c r="L6" s="15" t="s">
        <v>55</v>
      </c>
      <c r="M6" s="15" t="s">
        <v>56</v>
      </c>
      <c r="N6" s="15" t="s">
        <v>57</v>
      </c>
    </row>
    <row r="7" spans="1:14" ht="12.75">
      <c r="A7" s="126"/>
      <c r="B7" s="126"/>
      <c r="C7" s="88">
        <v>52.400000000000006</v>
      </c>
      <c r="D7" s="88"/>
      <c r="E7" s="88">
        <v>41.62235294117648</v>
      </c>
      <c r="F7" s="88">
        <v>8.8</v>
      </c>
      <c r="G7" s="88">
        <v>0</v>
      </c>
      <c r="H7" s="88">
        <v>0</v>
      </c>
      <c r="I7" s="88">
        <v>0.44</v>
      </c>
      <c r="J7" s="88">
        <v>1.1</v>
      </c>
      <c r="K7" s="88">
        <v>1.5400000000000003</v>
      </c>
      <c r="L7" s="88">
        <v>0.11</v>
      </c>
      <c r="M7" s="88">
        <v>0.011</v>
      </c>
      <c r="N7" s="88">
        <v>1.1</v>
      </c>
    </row>
    <row r="8" spans="1:14" ht="12.75">
      <c r="A8" s="96" t="s">
        <v>113</v>
      </c>
      <c r="B8" s="96">
        <v>130</v>
      </c>
      <c r="C8" s="96">
        <f>$B$8*0.42</f>
        <v>54.6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ht="12.75">
      <c r="A9" s="96" t="s">
        <v>104</v>
      </c>
      <c r="B9" s="96"/>
      <c r="C9" s="96">
        <f>B9*0.21</f>
        <v>0</v>
      </c>
      <c r="D9" s="96"/>
      <c r="E9" s="96"/>
      <c r="F9" s="96">
        <f>B9*0.23</f>
        <v>0</v>
      </c>
      <c r="G9" s="96"/>
      <c r="H9" s="96"/>
      <c r="I9" s="96"/>
      <c r="J9" s="96"/>
      <c r="K9" s="96"/>
      <c r="L9" s="96"/>
      <c r="M9" s="96"/>
      <c r="N9" s="96"/>
    </row>
    <row r="10" spans="1:14" ht="12.75">
      <c r="A10" s="96" t="s">
        <v>112</v>
      </c>
      <c r="B10" s="96">
        <v>150</v>
      </c>
      <c r="C10" s="96"/>
      <c r="D10" s="96">
        <f>$B$10*0.04</f>
        <v>6</v>
      </c>
      <c r="E10" s="96">
        <f>$B$10*0.34</f>
        <v>51.00000000000001</v>
      </c>
      <c r="F10" s="96">
        <f>$B$10*0.13</f>
        <v>19.5</v>
      </c>
      <c r="G10" s="96">
        <f>$B$10*0.17</f>
        <v>25.500000000000004</v>
      </c>
      <c r="H10" s="96">
        <f>$B$10*0.12</f>
        <v>18</v>
      </c>
      <c r="I10" s="96">
        <f>$B$10*0.8/1000</f>
        <v>0.12</v>
      </c>
      <c r="J10" s="96">
        <f>$B$10*0.24/1000</f>
        <v>0.036</v>
      </c>
      <c r="K10" s="96">
        <f>$B$10*1.34/1000</f>
        <v>0.201</v>
      </c>
      <c r="L10" s="96">
        <f>$B$10*1/1000</f>
        <v>0.15</v>
      </c>
      <c r="M10" s="96">
        <f>$B$10*0.0015/1000</f>
        <v>0.000225</v>
      </c>
      <c r="N10" s="96">
        <f>$B$10*0.15/1000</f>
        <v>0.0225</v>
      </c>
    </row>
    <row r="11" spans="1:14" ht="12.7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</row>
    <row r="12" spans="1:14" ht="12.7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</row>
    <row r="13" ht="12.75">
      <c r="A13" t="s">
        <v>108</v>
      </c>
    </row>
    <row r="15" spans="1:14" ht="12.75">
      <c r="A15" t="s">
        <v>111</v>
      </c>
      <c r="H15" s="14" t="s">
        <v>51</v>
      </c>
      <c r="I15" s="14" t="s">
        <v>52</v>
      </c>
      <c r="J15" s="14" t="s">
        <v>53</v>
      </c>
      <c r="K15" s="14" t="s">
        <v>54</v>
      </c>
      <c r="L15" s="15" t="s">
        <v>55</v>
      </c>
      <c r="M15" s="15" t="s">
        <v>56</v>
      </c>
      <c r="N15" s="15" t="s">
        <v>57</v>
      </c>
    </row>
    <row r="16" spans="8:14" ht="12.75">
      <c r="H16" s="88"/>
      <c r="I16" s="88">
        <f aca="true" t="shared" si="0" ref="I16:N16">I7-I10</f>
        <v>0.32</v>
      </c>
      <c r="J16" s="88">
        <f t="shared" si="0"/>
        <v>1.064</v>
      </c>
      <c r="K16" s="88">
        <f t="shared" si="0"/>
        <v>1.3390000000000002</v>
      </c>
      <c r="L16" s="88"/>
      <c r="M16" s="88">
        <f t="shared" si="0"/>
        <v>0.010775</v>
      </c>
      <c r="N16" s="88">
        <f t="shared" si="0"/>
        <v>1.0775000000000001</v>
      </c>
    </row>
  </sheetData>
  <sheetProtection/>
  <mergeCells count="2">
    <mergeCell ref="A6:A7"/>
    <mergeCell ref="B6:B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"/>
  <sheetViews>
    <sheetView zoomScale="130" zoomScaleNormal="130" zoomScalePageLayoutView="0" workbookViewId="0" topLeftCell="A1">
      <selection activeCell="K14" sqref="K14"/>
    </sheetView>
  </sheetViews>
  <sheetFormatPr defaultColWidth="9.00390625" defaultRowHeight="12.75"/>
  <cols>
    <col min="1" max="1" width="19.625" style="0" customWidth="1"/>
    <col min="2" max="2" width="10.875" style="0" customWidth="1"/>
    <col min="3" max="3" width="7.75390625" style="0" customWidth="1"/>
  </cols>
  <sheetData>
    <row r="1" spans="1:11" ht="12.75">
      <c r="A1" t="s">
        <v>94</v>
      </c>
      <c r="G1" t="s">
        <v>98</v>
      </c>
      <c r="H1">
        <v>50</v>
      </c>
      <c r="K1" t="s">
        <v>100</v>
      </c>
    </row>
    <row r="3" ht="12.75">
      <c r="A3" t="s">
        <v>119</v>
      </c>
    </row>
    <row r="4" ht="12.75">
      <c r="A4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2010-04-28T12:04:06Z</cp:lastPrinted>
  <dcterms:created xsi:type="dcterms:W3CDTF">2008-01-02T09:39:13Z</dcterms:created>
  <dcterms:modified xsi:type="dcterms:W3CDTF">2020-12-07T09:11:24Z</dcterms:modified>
  <cp:category/>
  <cp:version/>
  <cp:contentType/>
  <cp:contentStatus/>
</cp:coreProperties>
</file>